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294"/>
  </bookViews>
  <sheets>
    <sheet name="Sheet1" sheetId="1" r:id="rId1"/>
  </sheets>
  <definedNames>
    <definedName name="blank">Sheet1!$C$58</definedName>
    <definedName name="Cs">Sheet1!$C$56</definedName>
    <definedName name="Cx">Sheet1!$C$55</definedName>
    <definedName name="delta">Sheet1!$E$109</definedName>
    <definedName name="Es">Sheet1!$C$54</definedName>
    <definedName name="Ev">Sheet1!$C$53</definedName>
    <definedName name="intercept">Sheet1!$I$91</definedName>
    <definedName name="m">Sheet1!$C$64</definedName>
    <definedName name="mo">Sheet1!$C$50</definedName>
    <definedName name="n">Sheet1!$C$52</definedName>
    <definedName name="nomVs">Sheet1!$C$59</definedName>
    <definedName name="ns">Sheet1!$C$57</definedName>
    <definedName name="_xlnm.Print_Area" localSheetId="0">Sheet1!$A$48:$L$73</definedName>
    <definedName name="result">Sheet1!$C$65</definedName>
    <definedName name="slope">Sheet1!$I$90</definedName>
    <definedName name="Ss">Sheet1!$C$62</definedName>
    <definedName name="sumx">Sheet1!$D$108</definedName>
    <definedName name="sumx2">Sheet1!$E$108</definedName>
    <definedName name="sumxy">Sheet1!$F$108</definedName>
    <definedName name="sumy">Sheet1!$C$108</definedName>
    <definedName name="Sx">Sheet1!$C$63</definedName>
    <definedName name="z">Sheet1!$C$51</definedName>
  </definedNames>
  <calcPr calcId="152511" iterate="1"/>
</workbook>
</file>

<file path=xl/calcChain.xml><?xml version="1.0" encoding="utf-8"?>
<calcChain xmlns="http://schemas.openxmlformats.org/spreadsheetml/2006/main">
  <c r="C90" i="1" l="1"/>
  <c r="AG90" i="1"/>
  <c r="C51" i="1" l="1"/>
  <c r="C52" i="1"/>
  <c r="C55" i="1"/>
  <c r="C56" i="1"/>
  <c r="C64" i="1"/>
  <c r="C79" i="1" s="1"/>
  <c r="C83" i="1"/>
  <c r="D90" i="1"/>
  <c r="J90" i="1"/>
  <c r="S90" i="1"/>
  <c r="Y90" i="1"/>
  <c r="AD90" i="1"/>
  <c r="B91" i="1"/>
  <c r="B113" i="1"/>
  <c r="D91" i="1" l="1"/>
  <c r="AF91" i="1"/>
  <c r="C91" i="1"/>
  <c r="AG91" i="1"/>
  <c r="N90" i="1"/>
  <c r="C78" i="1"/>
  <c r="Y91" i="1"/>
  <c r="AC90" i="1"/>
  <c r="W90" i="1"/>
  <c r="R90" i="1"/>
  <c r="M90" i="1"/>
  <c r="C87" i="1"/>
  <c r="C82" i="1"/>
  <c r="C77" i="1"/>
  <c r="C63" i="1"/>
  <c r="S91" i="1"/>
  <c r="AA90" i="1"/>
  <c r="V90" i="1"/>
  <c r="Q90" i="1"/>
  <c r="K90" i="1"/>
  <c r="C86" i="1"/>
  <c r="C81" i="1"/>
  <c r="C67" i="1"/>
  <c r="Z90" i="1"/>
  <c r="U90" i="1"/>
  <c r="O90" i="1"/>
  <c r="C85" i="1"/>
  <c r="L91" i="1"/>
  <c r="P91" i="1"/>
  <c r="T91" i="1"/>
  <c r="X91" i="1"/>
  <c r="AB91" i="1"/>
  <c r="K91" i="1"/>
  <c r="Q91" i="1"/>
  <c r="V91" i="1"/>
  <c r="AA91" i="1"/>
  <c r="M91" i="1"/>
  <c r="R91" i="1"/>
  <c r="W91" i="1"/>
  <c r="AC91" i="1"/>
  <c r="E91" i="1"/>
  <c r="J91" i="1"/>
  <c r="O91" i="1"/>
  <c r="U91" i="1"/>
  <c r="Z91" i="1"/>
  <c r="B92" i="1"/>
  <c r="E90" i="1"/>
  <c r="N91" i="1"/>
  <c r="AD91" i="1"/>
  <c r="C80" i="1"/>
  <c r="C84" i="1"/>
  <c r="L90" i="1"/>
  <c r="P90" i="1"/>
  <c r="T90" i="1"/>
  <c r="X90" i="1"/>
  <c r="AB90" i="1"/>
  <c r="D92" i="1" l="1"/>
  <c r="AF92" i="1"/>
  <c r="C92" i="1"/>
  <c r="AG92" i="1"/>
  <c r="F90" i="1"/>
  <c r="F91" i="1"/>
  <c r="L92" i="1"/>
  <c r="P92" i="1"/>
  <c r="T92" i="1"/>
  <c r="X92" i="1"/>
  <c r="AB92" i="1"/>
  <c r="J92" i="1"/>
  <c r="O92" i="1"/>
  <c r="U92" i="1"/>
  <c r="Z92" i="1"/>
  <c r="B93" i="1"/>
  <c r="K92" i="1"/>
  <c r="Q92" i="1"/>
  <c r="V92" i="1"/>
  <c r="AA92" i="1"/>
  <c r="N92" i="1"/>
  <c r="S92" i="1"/>
  <c r="Y92" i="1"/>
  <c r="AD92" i="1"/>
  <c r="W92" i="1"/>
  <c r="AC92" i="1"/>
  <c r="M92" i="1"/>
  <c r="R92" i="1"/>
  <c r="D93" i="1" l="1"/>
  <c r="E93" i="1" s="1"/>
  <c r="AF93" i="1"/>
  <c r="C93" i="1"/>
  <c r="AG93" i="1"/>
  <c r="E92" i="1"/>
  <c r="F92" i="1"/>
  <c r="M93" i="1"/>
  <c r="Q93" i="1"/>
  <c r="U93" i="1"/>
  <c r="Y93" i="1"/>
  <c r="AC93" i="1"/>
  <c r="J93" i="1"/>
  <c r="O93" i="1"/>
  <c r="T93" i="1"/>
  <c r="Z93" i="1"/>
  <c r="B94" i="1"/>
  <c r="K93" i="1"/>
  <c r="P93" i="1"/>
  <c r="V93" i="1"/>
  <c r="AA93" i="1"/>
  <c r="N93" i="1"/>
  <c r="S93" i="1"/>
  <c r="X93" i="1"/>
  <c r="AD93" i="1"/>
  <c r="R93" i="1"/>
  <c r="W93" i="1"/>
  <c r="AB93" i="1"/>
  <c r="L93" i="1"/>
  <c r="D94" i="1" l="1"/>
  <c r="E94" i="1" s="1"/>
  <c r="C94" i="1"/>
  <c r="AF94" i="1"/>
  <c r="AG94" i="1"/>
  <c r="J94" i="1"/>
  <c r="N94" i="1"/>
  <c r="R94" i="1"/>
  <c r="V94" i="1"/>
  <c r="Z94" i="1"/>
  <c r="AD94" i="1"/>
  <c r="O94" i="1"/>
  <c r="T94" i="1"/>
  <c r="Y94" i="1"/>
  <c r="B95" i="1"/>
  <c r="K94" i="1"/>
  <c r="P94" i="1"/>
  <c r="U94" i="1"/>
  <c r="AA94" i="1"/>
  <c r="M94" i="1"/>
  <c r="S94" i="1"/>
  <c r="X94" i="1"/>
  <c r="AC94" i="1"/>
  <c r="L94" i="1"/>
  <c r="Q94" i="1"/>
  <c r="W94" i="1"/>
  <c r="AB94" i="1"/>
  <c r="F93" i="1"/>
  <c r="D95" i="1" l="1"/>
  <c r="C95" i="1"/>
  <c r="AF95" i="1"/>
  <c r="AG95" i="1"/>
  <c r="F94" i="1"/>
  <c r="K95" i="1"/>
  <c r="O95" i="1"/>
  <c r="S95" i="1"/>
  <c r="W95" i="1"/>
  <c r="AA95" i="1"/>
  <c r="B96" i="1"/>
  <c r="N95" i="1"/>
  <c r="T95" i="1"/>
  <c r="Y95" i="1"/>
  <c r="AD95" i="1"/>
  <c r="J95" i="1"/>
  <c r="P95" i="1"/>
  <c r="U95" i="1"/>
  <c r="Z95" i="1"/>
  <c r="M95" i="1"/>
  <c r="R95" i="1"/>
  <c r="X95" i="1"/>
  <c r="AC95" i="1"/>
  <c r="AB95" i="1"/>
  <c r="L95" i="1"/>
  <c r="Q95" i="1"/>
  <c r="V95" i="1"/>
  <c r="D96" i="1" l="1"/>
  <c r="E96" i="1" s="1"/>
  <c r="AF96" i="1"/>
  <c r="C96" i="1"/>
  <c r="AG96" i="1"/>
  <c r="E95" i="1"/>
  <c r="F95" i="1"/>
  <c r="L96" i="1"/>
  <c r="P96" i="1"/>
  <c r="T96" i="1"/>
  <c r="X96" i="1"/>
  <c r="AB96" i="1"/>
  <c r="N96" i="1"/>
  <c r="S96" i="1"/>
  <c r="Y96" i="1"/>
  <c r="AD96" i="1"/>
  <c r="J96" i="1"/>
  <c r="O96" i="1"/>
  <c r="U96" i="1"/>
  <c r="Z96" i="1"/>
  <c r="B97" i="1"/>
  <c r="M96" i="1"/>
  <c r="R96" i="1"/>
  <c r="W96" i="1"/>
  <c r="AC96" i="1"/>
  <c r="V96" i="1"/>
  <c r="AA96" i="1"/>
  <c r="K96" i="1"/>
  <c r="Q96" i="1"/>
  <c r="D97" i="1" l="1"/>
  <c r="E97" i="1" s="1"/>
  <c r="AF97" i="1"/>
  <c r="C97" i="1"/>
  <c r="AG97" i="1"/>
  <c r="F96" i="1"/>
  <c r="M97" i="1"/>
  <c r="Q97" i="1"/>
  <c r="U97" i="1"/>
  <c r="Y97" i="1"/>
  <c r="AC97" i="1"/>
  <c r="N97" i="1"/>
  <c r="S97" i="1"/>
  <c r="X97" i="1"/>
  <c r="AD97" i="1"/>
  <c r="J97" i="1"/>
  <c r="O97" i="1"/>
  <c r="T97" i="1"/>
  <c r="Z97" i="1"/>
  <c r="B98" i="1"/>
  <c r="L97" i="1"/>
  <c r="R97" i="1"/>
  <c r="W97" i="1"/>
  <c r="AB97" i="1"/>
  <c r="P97" i="1"/>
  <c r="V97" i="1"/>
  <c r="AA97" i="1"/>
  <c r="K97" i="1"/>
  <c r="D98" i="1" l="1"/>
  <c r="E98" i="1" s="1"/>
  <c r="C98" i="1"/>
  <c r="AF98" i="1"/>
  <c r="AG98" i="1"/>
  <c r="J98" i="1"/>
  <c r="N98" i="1"/>
  <c r="R98" i="1"/>
  <c r="V98" i="1"/>
  <c r="Z98" i="1"/>
  <c r="AD98" i="1"/>
  <c r="M98" i="1"/>
  <c r="S98" i="1"/>
  <c r="X98" i="1"/>
  <c r="AC98" i="1"/>
  <c r="O98" i="1"/>
  <c r="T98" i="1"/>
  <c r="Y98" i="1"/>
  <c r="B99" i="1"/>
  <c r="L98" i="1"/>
  <c r="Q98" i="1"/>
  <c r="W98" i="1"/>
  <c r="AB98" i="1"/>
  <c r="K98" i="1"/>
  <c r="P98" i="1"/>
  <c r="U98" i="1"/>
  <c r="AA98" i="1"/>
  <c r="F97" i="1"/>
  <c r="D99" i="1" l="1"/>
  <c r="C99" i="1"/>
  <c r="AF99" i="1"/>
  <c r="AG99" i="1"/>
  <c r="F98" i="1"/>
  <c r="K99" i="1"/>
  <c r="O99" i="1"/>
  <c r="S99" i="1"/>
  <c r="W99" i="1"/>
  <c r="AA99" i="1"/>
  <c r="B100" i="1"/>
  <c r="M99" i="1"/>
  <c r="R99" i="1"/>
  <c r="X99" i="1"/>
  <c r="AC99" i="1"/>
  <c r="L99" i="1"/>
  <c r="Q99" i="1"/>
  <c r="V99" i="1"/>
  <c r="AB99" i="1"/>
  <c r="P99" i="1"/>
  <c r="Z99" i="1"/>
  <c r="T99" i="1"/>
  <c r="AD99" i="1"/>
  <c r="J99" i="1"/>
  <c r="U99" i="1"/>
  <c r="N99" i="1"/>
  <c r="Y99" i="1"/>
  <c r="D100" i="1" l="1"/>
  <c r="E100" i="1" s="1"/>
  <c r="AF100" i="1"/>
  <c r="C100" i="1"/>
  <c r="AG100" i="1"/>
  <c r="E99" i="1"/>
  <c r="F99" i="1"/>
  <c r="L100" i="1"/>
  <c r="P100" i="1"/>
  <c r="T100" i="1"/>
  <c r="X100" i="1"/>
  <c r="AB100" i="1"/>
  <c r="M100" i="1"/>
  <c r="R100" i="1"/>
  <c r="W100" i="1"/>
  <c r="AC100" i="1"/>
  <c r="K100" i="1"/>
  <c r="Q100" i="1"/>
  <c r="V100" i="1"/>
  <c r="AA100" i="1"/>
  <c r="S100" i="1"/>
  <c r="AD100" i="1"/>
  <c r="J100" i="1"/>
  <c r="U100" i="1"/>
  <c r="B101" i="1"/>
  <c r="N100" i="1"/>
  <c r="Y100" i="1"/>
  <c r="O100" i="1"/>
  <c r="Z100" i="1"/>
  <c r="D101" i="1" l="1"/>
  <c r="E101" i="1" s="1"/>
  <c r="C101" i="1"/>
  <c r="AF101" i="1"/>
  <c r="AG101" i="1"/>
  <c r="F100" i="1"/>
  <c r="M101" i="1"/>
  <c r="Q101" i="1"/>
  <c r="U101" i="1"/>
  <c r="Y101" i="1"/>
  <c r="J101" i="1"/>
  <c r="O101" i="1"/>
  <c r="T101" i="1"/>
  <c r="Z101" i="1"/>
  <c r="AD101" i="1"/>
  <c r="N101" i="1"/>
  <c r="S101" i="1"/>
  <c r="X101" i="1"/>
  <c r="AC101" i="1"/>
  <c r="L101" i="1"/>
  <c r="W101" i="1"/>
  <c r="P101" i="1"/>
  <c r="AA101" i="1"/>
  <c r="R101" i="1"/>
  <c r="AB101" i="1"/>
  <c r="K101" i="1"/>
  <c r="V101" i="1"/>
  <c r="B102" i="1"/>
  <c r="D102" i="1" l="1"/>
  <c r="E102" i="1" s="1"/>
  <c r="AF102" i="1"/>
  <c r="C102" i="1"/>
  <c r="AG102" i="1"/>
  <c r="F101" i="1"/>
  <c r="K102" i="1"/>
  <c r="O102" i="1"/>
  <c r="S102" i="1"/>
  <c r="W102" i="1"/>
  <c r="AA102" i="1"/>
  <c r="B103" i="1"/>
  <c r="J102" i="1"/>
  <c r="N102" i="1"/>
  <c r="R102" i="1"/>
  <c r="V102" i="1"/>
  <c r="Z102" i="1"/>
  <c r="AD102" i="1"/>
  <c r="L102" i="1"/>
  <c r="T102" i="1"/>
  <c r="AB102" i="1"/>
  <c r="M102" i="1"/>
  <c r="U102" i="1"/>
  <c r="AC102" i="1"/>
  <c r="P102" i="1"/>
  <c r="X102" i="1"/>
  <c r="Q102" i="1"/>
  <c r="Y102" i="1"/>
  <c r="D103" i="1" l="1"/>
  <c r="AF103" i="1"/>
  <c r="C103" i="1"/>
  <c r="AG103" i="1"/>
  <c r="F102" i="1"/>
  <c r="L103" i="1"/>
  <c r="P103" i="1"/>
  <c r="T103" i="1"/>
  <c r="X103" i="1"/>
  <c r="AB103" i="1"/>
  <c r="K103" i="1"/>
  <c r="O103" i="1"/>
  <c r="S103" i="1"/>
  <c r="W103" i="1"/>
  <c r="AA103" i="1"/>
  <c r="B104" i="1"/>
  <c r="Q103" i="1"/>
  <c r="Y103" i="1"/>
  <c r="AC103" i="1"/>
  <c r="J103" i="1"/>
  <c r="R103" i="1"/>
  <c r="Z103" i="1"/>
  <c r="M103" i="1"/>
  <c r="U103" i="1"/>
  <c r="N103" i="1"/>
  <c r="V103" i="1"/>
  <c r="AD103" i="1"/>
  <c r="AF104" i="1" l="1"/>
  <c r="D104" i="1"/>
  <c r="E104" i="1" s="1"/>
  <c r="C104" i="1"/>
  <c r="AG104" i="1"/>
  <c r="F103" i="1"/>
  <c r="E103" i="1"/>
  <c r="M104" i="1"/>
  <c r="Q104" i="1"/>
  <c r="U104" i="1"/>
  <c r="Y104" i="1"/>
  <c r="AC104" i="1"/>
  <c r="L104" i="1"/>
  <c r="P104" i="1"/>
  <c r="T104" i="1"/>
  <c r="X104" i="1"/>
  <c r="AB104" i="1"/>
  <c r="J104" i="1"/>
  <c r="R104" i="1"/>
  <c r="Z104" i="1"/>
  <c r="AD104" i="1"/>
  <c r="K104" i="1"/>
  <c r="S104" i="1"/>
  <c r="AA104" i="1"/>
  <c r="N104" i="1"/>
  <c r="V104" i="1"/>
  <c r="O104" i="1"/>
  <c r="W104" i="1"/>
  <c r="B105" i="1"/>
  <c r="AF105" i="1" l="1"/>
  <c r="C105" i="1"/>
  <c r="AG105" i="1"/>
  <c r="D105" i="1"/>
  <c r="E105" i="1" s="1"/>
  <c r="F104" i="1"/>
  <c r="J105" i="1"/>
  <c r="N105" i="1"/>
  <c r="R105" i="1"/>
  <c r="V105" i="1"/>
  <c r="Z105" i="1"/>
  <c r="AD105" i="1"/>
  <c r="M105" i="1"/>
  <c r="Q105" i="1"/>
  <c r="U105" i="1"/>
  <c r="Y105" i="1"/>
  <c r="AC105" i="1"/>
  <c r="P105" i="1"/>
  <c r="X105" i="1"/>
  <c r="L105" i="1"/>
  <c r="T105" i="1"/>
  <c r="AB105" i="1"/>
  <c r="K105" i="1"/>
  <c r="S105" i="1"/>
  <c r="AA105" i="1"/>
  <c r="O105" i="1"/>
  <c r="W105" i="1"/>
  <c r="B106" i="1"/>
  <c r="C106" i="1" l="1"/>
  <c r="AG106" i="1"/>
  <c r="AF106" i="1"/>
  <c r="D106" i="1"/>
  <c r="E106" i="1" s="1"/>
  <c r="F105" i="1"/>
  <c r="K106" i="1"/>
  <c r="O106" i="1"/>
  <c r="S106" i="1"/>
  <c r="W106" i="1"/>
  <c r="AA106" i="1"/>
  <c r="B107" i="1"/>
  <c r="J106" i="1"/>
  <c r="N106" i="1"/>
  <c r="R106" i="1"/>
  <c r="V106" i="1"/>
  <c r="Z106" i="1"/>
  <c r="L106" i="1"/>
  <c r="T106" i="1"/>
  <c r="AB106" i="1"/>
  <c r="P106" i="1"/>
  <c r="X106" i="1"/>
  <c r="AD106" i="1"/>
  <c r="M106" i="1"/>
  <c r="U106" i="1"/>
  <c r="AC106" i="1"/>
  <c r="Q106" i="1"/>
  <c r="Y106" i="1"/>
  <c r="D107" i="1" l="1"/>
  <c r="E107" i="1" s="1"/>
  <c r="E108" i="1" s="1"/>
  <c r="H108" i="1" s="1"/>
  <c r="AF107" i="1"/>
  <c r="AG107" i="1"/>
  <c r="C107" i="1"/>
  <c r="C108" i="1" s="1"/>
  <c r="F106" i="1"/>
  <c r="L107" i="1"/>
  <c r="P107" i="1"/>
  <c r="T107" i="1"/>
  <c r="X107" i="1"/>
  <c r="AB107" i="1"/>
  <c r="K107" i="1"/>
  <c r="Q107" i="1"/>
  <c r="V107" i="1"/>
  <c r="AA107" i="1"/>
  <c r="N107" i="1"/>
  <c r="S107" i="1"/>
  <c r="Y107" i="1"/>
  <c r="AD107" i="1"/>
  <c r="M107" i="1"/>
  <c r="R107" i="1"/>
  <c r="W107" i="1"/>
  <c r="AC107" i="1"/>
  <c r="J107" i="1"/>
  <c r="O107" i="1"/>
  <c r="U107" i="1"/>
  <c r="Z107" i="1"/>
  <c r="I92" i="1" l="1"/>
  <c r="I74" i="1" s="1"/>
  <c r="I90" i="1"/>
  <c r="C61" i="1" s="1"/>
  <c r="F107" i="1"/>
  <c r="F108" i="1" s="1"/>
  <c r="D108" i="1"/>
  <c r="E109" i="1" s="1"/>
  <c r="H109" i="1" s="1"/>
  <c r="I91" i="1"/>
  <c r="U109" i="1"/>
  <c r="U110" i="1"/>
  <c r="W110" i="1"/>
  <c r="W109" i="1"/>
  <c r="Y110" i="1"/>
  <c r="Y109" i="1"/>
  <c r="V109" i="1"/>
  <c r="V110" i="1"/>
  <c r="X110" i="1"/>
  <c r="X109" i="1"/>
  <c r="O110" i="1"/>
  <c r="O109" i="1"/>
  <c r="R109" i="1"/>
  <c r="R110" i="1"/>
  <c r="S109" i="1"/>
  <c r="S110" i="1"/>
  <c r="Q109" i="1"/>
  <c r="Q110" i="1"/>
  <c r="T110" i="1"/>
  <c r="T109" i="1"/>
  <c r="M110" i="1"/>
  <c r="M109" i="1"/>
  <c r="N110" i="1"/>
  <c r="N109" i="1"/>
  <c r="K109" i="1"/>
  <c r="K110" i="1"/>
  <c r="P110" i="1"/>
  <c r="P109" i="1"/>
  <c r="Z110" i="1"/>
  <c r="Z109" i="1"/>
  <c r="AC109" i="1"/>
  <c r="AC110" i="1"/>
  <c r="AD110" i="1"/>
  <c r="AD109" i="1"/>
  <c r="AA109" i="1"/>
  <c r="AA110" i="1"/>
  <c r="AB109" i="1"/>
  <c r="AB110" i="1"/>
  <c r="L110" i="1"/>
  <c r="L109" i="1"/>
  <c r="F111" i="1" l="1"/>
  <c r="F112" i="1"/>
  <c r="C62" i="1"/>
  <c r="C65" i="1"/>
  <c r="C66" i="1" s="1"/>
  <c r="U111" i="1"/>
  <c r="M111" i="1"/>
  <c r="AD111" i="1"/>
  <c r="Q111" i="1"/>
  <c r="R111" i="1"/>
  <c r="AC111" i="1"/>
  <c r="S111" i="1"/>
  <c r="V111" i="1"/>
  <c r="W111" i="1"/>
  <c r="AB111" i="1"/>
  <c r="X111" i="1"/>
  <c r="N111" i="1"/>
  <c r="O120" i="1"/>
  <c r="L111" i="1"/>
  <c r="AA111" i="1"/>
  <c r="P111" i="1"/>
  <c r="T111" i="1"/>
  <c r="O111" i="1"/>
  <c r="Z111" i="1"/>
  <c r="K111" i="1"/>
  <c r="O119" i="1"/>
  <c r="L120" i="1"/>
  <c r="L119" i="1"/>
  <c r="Y111" i="1"/>
  <c r="G93" i="1" l="1"/>
  <c r="G96" i="1"/>
  <c r="G102" i="1"/>
  <c r="G99" i="1"/>
  <c r="G105" i="1"/>
  <c r="G97" i="1"/>
  <c r="G91" i="1"/>
  <c r="G106" i="1"/>
  <c r="G98" i="1"/>
  <c r="G103" i="1"/>
  <c r="G104" i="1"/>
  <c r="G100" i="1"/>
  <c r="G90" i="1"/>
  <c r="G101" i="1"/>
  <c r="G94" i="1"/>
  <c r="G95" i="1"/>
  <c r="G92" i="1"/>
  <c r="G107" i="1"/>
  <c r="Q119" i="1"/>
  <c r="L121" i="1"/>
  <c r="O121" i="1"/>
  <c r="I120" i="1"/>
  <c r="I119" i="1"/>
  <c r="G108" i="1" l="1"/>
  <c r="I108" i="1" s="1"/>
  <c r="C70" i="1"/>
  <c r="I122" i="1"/>
  <c r="C73" i="1" s="1"/>
  <c r="C71" i="1"/>
  <c r="I121" i="1"/>
  <c r="F113" i="1" l="1"/>
  <c r="F114" i="1" s="1"/>
  <c r="F116" i="1" s="1"/>
  <c r="F117" i="1" s="1"/>
  <c r="F118" i="1" s="1"/>
  <c r="C68" i="1" s="1"/>
  <c r="C72" i="1"/>
  <c r="F115" i="1" l="1"/>
  <c r="I123" i="1"/>
</calcChain>
</file>

<file path=xl/comments1.xml><?xml version="1.0" encoding="utf-8"?>
<comments xmlns="http://schemas.openxmlformats.org/spreadsheetml/2006/main">
  <authors>
    <author/>
  </authors>
  <commentList>
    <comment ref="C57" authorId="0" shapeId="0">
      <text>
        <r>
          <rPr>
            <sz val="10"/>
            <rFont val="Arial"/>
            <family val="2"/>
          </rPr>
          <t>Use the number spinner to adjust this number.</t>
        </r>
      </text>
    </comment>
    <comment ref="F110" authorId="0" shapeId="0">
      <text>
        <r>
          <rPr>
            <sz val="10"/>
            <rFont val="Arial"/>
            <family val="2"/>
          </rPr>
          <t>Click these cells to see the equations</t>
        </r>
      </text>
    </comment>
  </commentList>
</comments>
</file>

<file path=xl/sharedStrings.xml><?xml version="1.0" encoding="utf-8"?>
<sst xmlns="http://schemas.openxmlformats.org/spreadsheetml/2006/main" count="129" uniqueCount="90">
  <si>
    <t>Simulation of Multiple Standard Addition Method</t>
  </si>
  <si>
    <t>variable</t>
  </si>
  <si>
    <t>value</t>
  </si>
  <si>
    <t>description</t>
  </si>
  <si>
    <t>mo</t>
  </si>
  <si>
    <t>Analytical curve slope without interference</t>
  </si>
  <si>
    <t>z</t>
  </si>
  <si>
    <t>Interference factor (zero =&gt; no interference)</t>
  </si>
  <si>
    <t>Analytical curve non-linearity (0 = linear)</t>
  </si>
  <si>
    <t>n</t>
  </si>
  <si>
    <t>Ev</t>
  </si>
  <si>
    <t>Random volumetric error (% RSD )</t>
  </si>
  <si>
    <t>True analyte concentration in sample</t>
  </si>
  <si>
    <t>Es</t>
  </si>
  <si>
    <t>Signal measurement error (% RSD)</t>
  </si>
  <si>
    <t>Cx</t>
  </si>
  <si>
    <t>Concentration of highest added standard</t>
  </si>
  <si>
    <t>Cs</t>
  </si>
  <si>
    <t>ns</t>
  </si>
  <si>
    <t>blank</t>
  </si>
  <si>
    <t>Additive interference</t>
  </si>
  <si>
    <t>Computed results based on single calibration curve shown</t>
  </si>
  <si>
    <t xml:space="preserve"> </t>
  </si>
  <si>
    <t>slope</t>
  </si>
  <si>
    <t>Slope of standard addition signals</t>
  </si>
  <si>
    <t>intercept</t>
  </si>
  <si>
    <t>Intercept of standard addition signals</t>
  </si>
  <si>
    <t>Sx</t>
  </si>
  <si>
    <t>Signal given by sample without addition</t>
  </si>
  <si>
    <t>m</t>
  </si>
  <si>
    <t>Analytical curve slope in actual sample</t>
  </si>
  <si>
    <t>result</t>
  </si>
  <si>
    <t>Calculated concentration of unknown</t>
  </si>
  <si>
    <t>error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</si>
  <si>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</si>
  <si>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recovery</t>
  </si>
  <si>
    <t>Relative % effect of interference on signal</t>
  </si>
  <si>
    <t>Est. RSD</t>
  </si>
  <si>
    <t>Predicted relative standard deviation of result</t>
  </si>
  <si>
    <t>Statistics</t>
  </si>
  <si>
    <t>Statistics of 20 repeat experiments (separate calibrations and measurements)</t>
  </si>
  <si>
    <t>Mean</t>
  </si>
  <si>
    <t>Average of 20 results</t>
  </si>
  <si>
    <t>s</t>
  </si>
  <si>
    <t>Standard deviation of the 20 results</t>
  </si>
  <si>
    <t>% RSD</t>
  </si>
  <si>
    <t>Relative standard deviation of 20 results</t>
  </si>
  <si>
    <t>Error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</si>
  <si>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</si>
  <si>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R2=</t>
  </si>
  <si>
    <t>Analytical curve (blue line)</t>
  </si>
  <si>
    <t xml:space="preserve">  </t>
  </si>
  <si>
    <t>20 repeats measurement of the sample and all standards, with new curve fit.</t>
  </si>
  <si>
    <t>Standards (Red triangles)</t>
  </si>
  <si>
    <t>x^2</t>
  </si>
  <si>
    <t>x*y</t>
  </si>
  <si>
    <t>Current measurement</t>
  </si>
  <si>
    <r>
      <t>$B90</t>
    </r>
    <r>
      <rPr>
        <sz val="10"/>
        <rFont val="Arial"/>
        <family val="2"/>
      </rPr>
      <t>+Cx</t>
    </r>
  </si>
  <si>
    <t>Intercept</t>
  </si>
  <si>
    <r>
      <t>Rsquared (R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</si>
  <si>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delta = ns*sumx2-sumx^2</t>
  </si>
  <si>
    <t>Slope =</t>
  </si>
  <si>
    <t>Prediction of random errors (standard deviations)</t>
  </si>
  <si>
    <t>Intercept =</t>
  </si>
  <si>
    <t>slope: m = (ns*sumxy-sumx*sumy)/delta</t>
  </si>
  <si>
    <t>Result =</t>
  </si>
  <si>
    <t>Green triangle</t>
  </si>
  <si>
    <t>intercept: b = (sumx2*sumy-sumx*sumxy)/delta</t>
  </si>
  <si>
    <t>Estimated standard deviation of the ys</t>
  </si>
  <si>
    <t>Estimated standard deviation of the y intercept</t>
  </si>
  <si>
    <t>Estimated standard deviation of the slope</t>
  </si>
  <si>
    <t>Estimated RSD of the y intercept</t>
  </si>
  <si>
    <t>Estimated RSD of the slope</t>
  </si>
  <si>
    <t>Y- axis line</t>
  </si>
  <si>
    <t>Estimated RSD of the result=intercept/slope</t>
  </si>
  <si>
    <t>Statistics calculations</t>
  </si>
  <si>
    <t>Slope</t>
  </si>
  <si>
    <t>Accuracy</t>
  </si>
  <si>
    <t>Pred/actual ratio</t>
  </si>
  <si>
    <t>Average ratio is less than 1</t>
  </si>
  <si>
    <t>Because the correlation of slope and intercept is negative</t>
  </si>
  <si>
    <t>(see the graph on the left) the intercept goes up when the</t>
  </si>
  <si>
    <t xml:space="preserve"> Slope goes down, making the ratio of the two vary more</t>
  </si>
  <si>
    <t xml:space="preserve">that the square root of the sum of the squares of their </t>
  </si>
  <si>
    <t>individual variations.</t>
  </si>
  <si>
    <t>Correlation of slope and intercept is negative</t>
  </si>
  <si>
    <r>
      <t>© 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 June, 2009</t>
    </r>
  </si>
  <si>
    <r>
      <t>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 August 2014</t>
    </r>
  </si>
  <si>
    <t xml:space="preserve">       Number of standard additions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</si>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</sst>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%"/>
    <numFmt numFmtId="166" formatCode="0.000"/>
    <numFmt numFmtId="167" formatCode="0.0"/>
  </numFmts>
  <fonts count="14" x14ac:knownFonts="1">
    <font>
      <sz val="10"/>
      <name val="Arial"/>
      <family val="2"/>
    </font>
    <font>
      <b/>
      <sz val="18"/>
      <color indexed="5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1"/>
      <color rgb="FF00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  <protection locked="0"/>
    </xf>
    <xf numFmtId="49" fontId="4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49" fontId="3" fillId="2" borderId="6" xfId="0" applyNumberFormat="1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3" fillId="2" borderId="7" xfId="0" applyNumberFormat="1" applyFont="1" applyFill="1" applyBorder="1" applyAlignment="1" applyProtection="1">
      <alignment horizontal="left"/>
      <protection locked="0"/>
    </xf>
    <xf numFmtId="49" fontId="4" fillId="2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" fillId="0" borderId="1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49" fontId="3" fillId="0" borderId="3" xfId="0" applyNumberFormat="1" applyFont="1" applyBorder="1" applyAlignment="1" applyProtection="1">
      <alignment horizontal="left"/>
      <protection locked="0"/>
    </xf>
    <xf numFmtId="164" fontId="3" fillId="0" borderId="4" xfId="0" applyNumberFormat="1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left"/>
      <protection locked="0"/>
    </xf>
    <xf numFmtId="0" fontId="0" fillId="0" borderId="6" xfId="0" applyBorder="1"/>
    <xf numFmtId="49" fontId="3" fillId="0" borderId="6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0" fontId="3" fillId="0" borderId="0" xfId="0" applyNumberFormat="1" applyFont="1" applyAlignment="1" applyProtection="1">
      <alignment horizontal="center"/>
    </xf>
    <xf numFmtId="0" fontId="4" fillId="0" borderId="2" xfId="0" applyFont="1" applyBorder="1"/>
    <xf numFmtId="10" fontId="3" fillId="0" borderId="0" xfId="0" applyNumberFormat="1" applyFont="1" applyBorder="1" applyAlignment="1" applyProtection="1">
      <alignment horizontal="center"/>
    </xf>
    <xf numFmtId="0" fontId="3" fillId="0" borderId="7" xfId="0" applyFont="1" applyBorder="1"/>
    <xf numFmtId="165" fontId="3" fillId="0" borderId="8" xfId="0" applyNumberFormat="1" applyFont="1" applyBorder="1"/>
    <xf numFmtId="0" fontId="4" fillId="0" borderId="9" xfId="0" applyFont="1" applyBorder="1"/>
    <xf numFmtId="0" fontId="5" fillId="0" borderId="8" xfId="0" applyFont="1" applyBorder="1"/>
    <xf numFmtId="0" fontId="0" fillId="0" borderId="8" xfId="0" applyBorder="1"/>
    <xf numFmtId="0" fontId="6" fillId="0" borderId="0" xfId="0" applyFont="1" applyBorder="1" applyAlignment="1">
      <alignment wrapText="1"/>
    </xf>
    <xf numFmtId="0" fontId="4" fillId="0" borderId="5" xfId="0" applyFont="1" applyBorder="1"/>
    <xf numFmtId="0" fontId="7" fillId="0" borderId="0" xfId="0" applyFont="1" applyProtection="1">
      <protection hidden="1"/>
    </xf>
    <xf numFmtId="49" fontId="8" fillId="0" borderId="6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/>
    <xf numFmtId="165" fontId="3" fillId="0" borderId="0" xfId="0" applyNumberFormat="1" applyFont="1"/>
    <xf numFmtId="49" fontId="3" fillId="0" borderId="7" xfId="0" applyNumberFormat="1" applyFont="1" applyBorder="1" applyAlignment="1" applyProtection="1">
      <alignment horizontal="left"/>
      <protection locked="0"/>
    </xf>
    <xf numFmtId="10" fontId="3" fillId="0" borderId="8" xfId="0" applyNumberFormat="1" applyFont="1" applyBorder="1"/>
    <xf numFmtId="0" fontId="0" fillId="0" borderId="3" xfId="0" applyBorder="1"/>
    <xf numFmtId="164" fontId="0" fillId="0" borderId="11" xfId="0" applyNumberFormat="1" applyBorder="1" applyAlignment="1" applyProtection="1">
      <alignment horizontal="center"/>
    </xf>
    <xf numFmtId="0" fontId="0" fillId="0" borderId="7" xfId="0" applyBorder="1"/>
    <xf numFmtId="0" fontId="2" fillId="0" borderId="0" xfId="0" applyFont="1" applyBorder="1"/>
    <xf numFmtId="0" fontId="0" fillId="0" borderId="5" xfId="0" applyFont="1" applyBorder="1"/>
    <xf numFmtId="0" fontId="10" fillId="0" borderId="0" xfId="0" applyFont="1"/>
    <xf numFmtId="0" fontId="9" fillId="0" borderId="0" xfId="0" applyFont="1"/>
    <xf numFmtId="0" fontId="11" fillId="0" borderId="3" xfId="0" applyFont="1" applyBorder="1"/>
    <xf numFmtId="164" fontId="0" fillId="0" borderId="0" xfId="0" applyNumberFormat="1" applyBorder="1"/>
    <xf numFmtId="164" fontId="4" fillId="0" borderId="4" xfId="0" applyNumberFormat="1" applyFont="1" applyBorder="1" applyAlignment="1" applyProtection="1">
      <alignment horizontal="center"/>
    </xf>
    <xf numFmtId="0" fontId="0" fillId="0" borderId="2" xfId="0" applyBorder="1"/>
    <xf numFmtId="164" fontId="0" fillId="0" borderId="0" xfId="0" applyNumberFormat="1"/>
    <xf numFmtId="2" fontId="0" fillId="0" borderId="5" xfId="0" applyNumberFormat="1" applyBorder="1" applyAlignment="1">
      <alignment horizontal="left" indent="1"/>
    </xf>
    <xf numFmtId="164" fontId="4" fillId="0" borderId="0" xfId="0" applyNumberFormat="1" applyFont="1" applyBorder="1" applyAlignment="1" applyProtection="1">
      <alignment horizontal="center"/>
    </xf>
    <xf numFmtId="0" fontId="11" fillId="0" borderId="6" xfId="0" applyFont="1" applyBorder="1"/>
    <xf numFmtId="166" fontId="0" fillId="0" borderId="2" xfId="0" applyNumberFormat="1" applyBorder="1" applyAlignment="1">
      <alignment horizontal="left" indent="1"/>
    </xf>
    <xf numFmtId="164" fontId="0" fillId="0" borderId="9" xfId="0" applyNumberFormat="1" applyBorder="1" applyAlignment="1">
      <alignment horizontal="left" indent="1"/>
    </xf>
    <xf numFmtId="0" fontId="11" fillId="0" borderId="7" xfId="0" applyFont="1" applyBorder="1"/>
    <xf numFmtId="0" fontId="0" fillId="0" borderId="9" xfId="0" applyBorder="1"/>
    <xf numFmtId="0" fontId="0" fillId="0" borderId="0" xfId="0" applyAlignment="1">
      <alignment horizontal="right"/>
    </xf>
    <xf numFmtId="167" fontId="0" fillId="0" borderId="0" xfId="0" applyNumberFormat="1"/>
    <xf numFmtId="166" fontId="0" fillId="0" borderId="0" xfId="0" applyNumberFormat="1" applyBorder="1" applyAlignment="1">
      <alignment horizontal="left" indent="1"/>
    </xf>
    <xf numFmtId="0" fontId="2" fillId="0" borderId="3" xfId="0" applyFont="1" applyBorder="1"/>
    <xf numFmtId="0" fontId="0" fillId="0" borderId="4" xfId="0" applyBorder="1"/>
    <xf numFmtId="49" fontId="0" fillId="0" borderId="3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Protection="1"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Border="1" applyProtection="1">
      <protection locked="0"/>
    </xf>
    <xf numFmtId="10" fontId="2" fillId="0" borderId="2" xfId="0" applyNumberFormat="1" applyFont="1" applyBorder="1" applyProtection="1">
      <protection locked="0"/>
    </xf>
    <xf numFmtId="49" fontId="0" fillId="0" borderId="7" xfId="0" applyNumberFormat="1" applyFont="1" applyBorder="1" applyAlignment="1" applyProtection="1">
      <alignment horizontal="left"/>
      <protection locked="0"/>
    </xf>
    <xf numFmtId="10" fontId="2" fillId="0" borderId="9" xfId="0" applyNumberFormat="1" applyFont="1" applyBorder="1" applyProtection="1"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/>
    <xf numFmtId="166" fontId="11" fillId="0" borderId="2" xfId="0" applyNumberFormat="1" applyFont="1" applyBorder="1"/>
    <xf numFmtId="10" fontId="11" fillId="0" borderId="2" xfId="0" applyNumberFormat="1" applyFont="1" applyBorder="1"/>
    <xf numFmtId="10" fontId="11" fillId="0" borderId="9" xfId="0" applyNumberFormat="1" applyFont="1" applyBorder="1"/>
    <xf numFmtId="164" fontId="4" fillId="0" borderId="0" xfId="0" applyNumberFormat="1" applyFont="1" applyFill="1" applyBorder="1" applyAlignment="1" applyProtection="1">
      <alignment horizontal="center"/>
    </xf>
    <xf numFmtId="164" fontId="13" fillId="2" borderId="4" xfId="0" applyNumberFormat="1" applyFont="1" applyFill="1" applyBorder="1" applyAlignment="1" applyProtection="1">
      <alignment horizontal="center"/>
      <protection locked="0"/>
    </xf>
    <xf numFmtId="164" fontId="13" fillId="2" borderId="0" xfId="0" applyNumberFormat="1" applyFont="1" applyFill="1" applyAlignment="1" applyProtection="1">
      <alignment horizontal="center"/>
    </xf>
    <xf numFmtId="164" fontId="13" fillId="2" borderId="0" xfId="0" applyNumberFormat="1" applyFont="1" applyFill="1" applyAlignment="1" applyProtection="1">
      <alignment horizontal="center"/>
      <protection locked="0"/>
    </xf>
    <xf numFmtId="1" fontId="13" fillId="2" borderId="0" xfId="0" applyNumberFormat="1" applyFont="1" applyFill="1" applyAlignment="1" applyProtection="1">
      <alignment horizontal="center"/>
    </xf>
    <xf numFmtId="164" fontId="13" fillId="2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4C1900"/>
      <rgbColor rgb="00993300"/>
      <rgbColor rgb="00993366"/>
      <rgbColor rgb="00333399"/>
      <rgbColor rgb="00333333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Analytical Curve</a:t>
            </a:r>
          </a:p>
        </c:rich>
      </c:tx>
      <c:layout>
        <c:manualLayout>
          <c:xMode val="edge"/>
          <c:yMode val="edge"/>
          <c:x val="0.32801099776457349"/>
          <c:y val="2.1277300996532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49875399149101E-2"/>
          <c:y val="9.7714573557093218E-2"/>
          <c:w val="0.85941518140557338"/>
          <c:h val="0.79617720512208712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Sheet1!$B$112</c:f>
              <c:strCache>
                <c:ptCount val="1"/>
                <c:pt idx="0">
                  <c:v>Green triangle</c:v>
                </c:pt>
              </c:strCache>
            </c:strRef>
          </c:tx>
          <c:spPr>
            <a:ln w="3175">
              <a:solidFill>
                <a:srgbClr val="579D1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xVal>
            <c:numRef>
              <c:f>Sheet1!$B$113</c:f>
              <c:numCache>
                <c:formatCode>General</c:formatCode>
                <c:ptCount val="1"/>
                <c:pt idx="0">
                  <c:v>-10</c:v>
                </c:pt>
              </c:numCache>
            </c:numRef>
          </c:xVal>
          <c:yVal>
            <c:numRef>
              <c:f>Sheet1!$C$113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Sheet1!$B$89</c:f>
              <c:strCache>
                <c:ptCount val="1"/>
                <c:pt idx="0">
                  <c:v>Standards (Red triangles)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Sheet1!$AF$90:$AF$107</c:f>
              <c:numCache>
                <c:formatCode>0.0000</c:formatCode>
                <c:ptCount val="18"/>
                <c:pt idx="0" formatCode="General">
                  <c:v>0</c:v>
                </c:pt>
                <c:pt idx="1">
                  <c:v>6.666666666666667</c:v>
                </c:pt>
                <c:pt idx="2">
                  <c:v>13.333333333333334</c:v>
                </c:pt>
                <c:pt idx="3">
                  <c:v>20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xVal>
          <c:yVal>
            <c:numRef>
              <c:f>Sheet1!$AG$90:$AG$107</c:f>
              <c:numCache>
                <c:formatCode>General</c:formatCode>
                <c:ptCount val="18"/>
                <c:pt idx="0">
                  <c:v>10.048055982696207</c:v>
                </c:pt>
                <c:pt idx="1">
                  <c:v>16.44736055188072</c:v>
                </c:pt>
                <c:pt idx="2">
                  <c:v>23.476267574469496</c:v>
                </c:pt>
                <c:pt idx="3">
                  <c:v>29.247220337517206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Sheet1!$B$109</c:f>
              <c:strCache>
                <c:ptCount val="1"/>
                <c:pt idx="0">
                  <c:v> </c:v>
                </c:pt>
              </c:strCache>
            </c:strRef>
          </c:tx>
          <c:spPr>
            <a:ln w="3175">
              <a:solidFill>
                <a:srgbClr val="FFD32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FFD320"/>
                </a:solidFill>
                <a:prstDash val="solid"/>
              </a:ln>
            </c:spPr>
          </c:marker>
          <c:xVal>
            <c:strRef>
              <c:f>Sheet1!$B$110</c:f>
              <c:strCache>
                <c:ptCount val="1"/>
                <c:pt idx="0">
                  <c:v> </c:v>
                </c:pt>
              </c:strCache>
            </c:strRef>
          </c:xVal>
          <c:yVal>
            <c:numRef>
              <c:f>Sheet1!$C$110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352992"/>
        <c:axId val="923357888"/>
      </c:scatterChart>
      <c:valAx>
        <c:axId val="923352992"/>
        <c:scaling>
          <c:orientation val="minMax"/>
          <c:min val="-1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2850109440291084"/>
              <c:y val="0.938053925077547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357888"/>
        <c:crossesAt val="0"/>
        <c:crossBetween val="midCat"/>
        <c:majorUnit val="1"/>
        <c:minorUnit val="1"/>
      </c:valAx>
      <c:valAx>
        <c:axId val="92335788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1.59339378606555E-2"/>
              <c:y val="0.448824836289403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352992"/>
        <c:crossesAt val="0"/>
        <c:crossBetween val="midCat"/>
        <c:majorUnit val="5"/>
        <c:minorUnit val="2.5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934464031683"/>
          <c:y val="5.7253855712642299E-2"/>
          <c:w val="0.76689672320158409"/>
          <c:h val="0.805370903691168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4586"/>
                </a:solidFill>
                <a:prstDash val="solid"/>
              </a:ln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Sheet1!$K$109:$AD$109</c:f>
              <c:numCache>
                <c:formatCode>0.000</c:formatCode>
                <c:ptCount val="20"/>
                <c:pt idx="0">
                  <c:v>0.96618964062131285</c:v>
                </c:pt>
                <c:pt idx="1">
                  <c:v>1.0232583333885559</c:v>
                </c:pt>
                <c:pt idx="2">
                  <c:v>0.97153641460605034</c:v>
                </c:pt>
                <c:pt idx="3">
                  <c:v>0.95055628602437536</c:v>
                </c:pt>
                <c:pt idx="4">
                  <c:v>0.95983614347716562</c:v>
                </c:pt>
                <c:pt idx="5">
                  <c:v>1.0117831680049434</c:v>
                </c:pt>
                <c:pt idx="6">
                  <c:v>0.98583279558531745</c:v>
                </c:pt>
                <c:pt idx="7">
                  <c:v>1.0091256917247378</c:v>
                </c:pt>
                <c:pt idx="8">
                  <c:v>1.0073451597003831</c:v>
                </c:pt>
                <c:pt idx="9">
                  <c:v>1.0007795321985082</c:v>
                </c:pt>
                <c:pt idx="10">
                  <c:v>0.98706472844070958</c:v>
                </c:pt>
                <c:pt idx="11">
                  <c:v>1.0015619179576902</c:v>
                </c:pt>
                <c:pt idx="12">
                  <c:v>0.97261192307476985</c:v>
                </c:pt>
                <c:pt idx="13">
                  <c:v>0.99487857061986917</c:v>
                </c:pt>
                <c:pt idx="14">
                  <c:v>0.98268133750934195</c:v>
                </c:pt>
                <c:pt idx="15">
                  <c:v>0.99114893811008387</c:v>
                </c:pt>
                <c:pt idx="16">
                  <c:v>1.0255875146776938</c:v>
                </c:pt>
                <c:pt idx="17">
                  <c:v>1.0304071588836403</c:v>
                </c:pt>
                <c:pt idx="18">
                  <c:v>0.99791777623289457</c:v>
                </c:pt>
                <c:pt idx="19">
                  <c:v>0.98606665507561109</c:v>
                </c:pt>
              </c:numCache>
            </c:numRef>
          </c:xVal>
          <c:yVal>
            <c:numRef>
              <c:f>Sheet1!$K$110:$AD$110</c:f>
              <c:numCache>
                <c:formatCode>0.000</c:formatCode>
                <c:ptCount val="20"/>
                <c:pt idx="0">
                  <c:v>10.16584998152592</c:v>
                </c:pt>
                <c:pt idx="1">
                  <c:v>9.8701822084119666</c:v>
                </c:pt>
                <c:pt idx="2">
                  <c:v>10.129910815308095</c:v>
                </c:pt>
                <c:pt idx="3">
                  <c:v>10.145554945915883</c:v>
                </c:pt>
                <c:pt idx="4">
                  <c:v>10.371005750682267</c:v>
                </c:pt>
                <c:pt idx="5">
                  <c:v>9.7219517495423204</c:v>
                </c:pt>
                <c:pt idx="6">
                  <c:v>10.069944087593246</c:v>
                </c:pt>
                <c:pt idx="7">
                  <c:v>10.037512264977959</c:v>
                </c:pt>
                <c:pt idx="8">
                  <c:v>9.8189645664871108</c:v>
                </c:pt>
                <c:pt idx="9">
                  <c:v>9.9814117671183062</c:v>
                </c:pt>
                <c:pt idx="10">
                  <c:v>10.007616204922048</c:v>
                </c:pt>
                <c:pt idx="11">
                  <c:v>10.200680633392544</c:v>
                </c:pt>
                <c:pt idx="12">
                  <c:v>10.285267533872833</c:v>
                </c:pt>
                <c:pt idx="13">
                  <c:v>10.033490105281899</c:v>
                </c:pt>
                <c:pt idx="14">
                  <c:v>10.232160103446798</c:v>
                </c:pt>
                <c:pt idx="15">
                  <c:v>9.9506976141134977</c:v>
                </c:pt>
                <c:pt idx="16">
                  <c:v>9.7554180450838626</c:v>
                </c:pt>
                <c:pt idx="17">
                  <c:v>9.9626743419086736</c:v>
                </c:pt>
                <c:pt idx="18">
                  <c:v>10.107351522930685</c:v>
                </c:pt>
                <c:pt idx="19">
                  <c:v>10.215796799058211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354080"/>
        <c:axId val="925346576"/>
      </c:scatterChart>
      <c:valAx>
        <c:axId val="923354080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346576"/>
        <c:crossesAt val="0"/>
        <c:crossBetween val="midCat"/>
      </c:valAx>
      <c:valAx>
        <c:axId val="925346576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354080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trlProps/ctrlProp1.xml><?xml version="1.0" encoding="utf-8"?>
<formControlPr xmlns="http://schemas.microsoft.com/office/spreadsheetml/2009/9/main" objectType="Spin" dx="15" fmlaLink="$C$57" max="18" min="1" page="10" val="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48</xdr:row>
      <xdr:rowOff>28575</xdr:rowOff>
    </xdr:from>
    <xdr:to>
      <xdr:col>13</xdr:col>
      <xdr:colOff>514350</xdr:colOff>
      <xdr:row>72</xdr:row>
      <xdr:rowOff>161925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571500</xdr:colOff>
          <xdr:row>55</xdr:row>
          <xdr:rowOff>133350</xdr:rowOff>
        </xdr:from>
        <xdr:to>
          <xdr:col>3</xdr:col>
          <xdr:colOff>257175</xdr:colOff>
          <xdr:row>57</xdr:row>
          <xdr:rowOff>9525</xdr:rowOff>
        </xdr:to>
        <xdr:sp macro="" textlink="">
          <xdr:nvSpPr>
            <xdr:cNvPr id="1037" name="Scrollbar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118</xdr:row>
      <xdr:rowOff>142875</xdr:rowOff>
    </xdr:from>
    <xdr:to>
      <xdr:col>5</xdr:col>
      <xdr:colOff>190500</xdr:colOff>
      <xdr:row>134</xdr:row>
      <xdr:rowOff>47625</xdr:rowOff>
    </xdr:to>
    <xdr:graphicFrame macro="">
      <xdr:nvGraphicFramePr>
        <xdr:cNvPr id="104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toh@umd.edu" TargetMode="External"/><Relationship Id="rId1" Type="http://schemas.openxmlformats.org/officeDocument/2006/relationships/hyperlink" Target="mailto:toh@umd.edu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39"/>
  <sheetViews>
    <sheetView tabSelected="1" topLeftCell="A48" workbookViewId="0">
      <selection activeCell="D55" sqref="D55"/>
    </sheetView>
  </sheetViews>
  <sheetFormatPr defaultColWidth="9.5703125" defaultRowHeight="12.75" x14ac:dyDescent="0.2"/>
  <cols>
    <col min="1" max="1" width="2.28515625" customWidth="1"/>
    <col min="3" max="3" width="10.5703125" customWidth="1"/>
    <col min="4" max="4" width="42" customWidth="1"/>
    <col min="5" max="5" width="5.28515625" customWidth="1"/>
    <col min="6" max="6" width="6.85546875" customWidth="1"/>
    <col min="7" max="7" width="1.42578125" customWidth="1"/>
    <col min="8" max="8" width="13.42578125" customWidth="1"/>
    <col min="9" max="9" width="8.7109375" customWidth="1"/>
  </cols>
  <sheetData>
    <row r="1" ht="2.85" hidden="1" customHeight="1" x14ac:dyDescent="0.2"/>
    <row r="2" ht="2.85" hidden="1" customHeight="1" x14ac:dyDescent="0.2"/>
    <row r="3" ht="2.85" hidden="1" customHeight="1" x14ac:dyDescent="0.2"/>
    <row r="4" ht="2.85" hidden="1" customHeight="1" x14ac:dyDescent="0.2"/>
    <row r="5" ht="2.85" hidden="1" customHeight="1" x14ac:dyDescent="0.2"/>
    <row r="6" ht="2.85" hidden="1" customHeight="1" x14ac:dyDescent="0.2"/>
    <row r="7" ht="2.85" hidden="1" customHeight="1" x14ac:dyDescent="0.2"/>
    <row r="8" ht="2.85" hidden="1" customHeight="1" x14ac:dyDescent="0.2"/>
    <row r="9" ht="2.85" hidden="1" customHeight="1" x14ac:dyDescent="0.2"/>
    <row r="10" ht="2.85" hidden="1" customHeight="1" x14ac:dyDescent="0.2"/>
    <row r="11" ht="2.85" hidden="1" customHeight="1" x14ac:dyDescent="0.2"/>
    <row r="12" ht="2.85" hidden="1" customHeight="1" x14ac:dyDescent="0.2"/>
    <row r="13" ht="2.85" hidden="1" customHeight="1" x14ac:dyDescent="0.2"/>
    <row r="14" ht="2.85" hidden="1" customHeight="1" x14ac:dyDescent="0.2"/>
    <row r="15" ht="2.85" hidden="1" customHeight="1" x14ac:dyDescent="0.2"/>
    <row r="16" ht="2.85" hidden="1" customHeight="1" x14ac:dyDescent="0.2"/>
    <row r="17" ht="2.85" hidden="1" customHeight="1" x14ac:dyDescent="0.2"/>
    <row r="18" ht="2.85" hidden="1" customHeight="1" x14ac:dyDescent="0.2"/>
    <row r="19" ht="2.85" hidden="1" customHeight="1" x14ac:dyDescent="0.2"/>
    <row r="20" ht="2.85" hidden="1" customHeight="1" x14ac:dyDescent="0.2"/>
    <row r="21" ht="2.85" hidden="1" customHeight="1" x14ac:dyDescent="0.2"/>
    <row r="22" ht="2.85" hidden="1" customHeight="1" x14ac:dyDescent="0.2"/>
    <row r="23" ht="2.85" hidden="1" customHeight="1" x14ac:dyDescent="0.2"/>
    <row r="24" ht="2.85" hidden="1" customHeight="1" x14ac:dyDescent="0.2"/>
    <row r="25" ht="2.85" hidden="1" customHeight="1" x14ac:dyDescent="0.2"/>
    <row r="26" ht="2.85" hidden="1" customHeight="1" x14ac:dyDescent="0.2"/>
    <row r="27" ht="2.85" hidden="1" customHeight="1" x14ac:dyDescent="0.2"/>
    <row r="28" ht="2.85" hidden="1" customHeight="1" x14ac:dyDescent="0.2"/>
    <row r="29" ht="2.85" hidden="1" customHeight="1" x14ac:dyDescent="0.2"/>
    <row r="30" ht="2.85" hidden="1" customHeight="1" x14ac:dyDescent="0.2"/>
    <row r="31" ht="2.85" hidden="1" customHeight="1" x14ac:dyDescent="0.2"/>
    <row r="32" ht="2.85" hidden="1" customHeight="1" x14ac:dyDescent="0.2"/>
    <row r="33" spans="2:8" ht="2.85" hidden="1" customHeight="1" x14ac:dyDescent="0.2"/>
    <row r="34" spans="2:8" ht="2.85" hidden="1" customHeight="1" x14ac:dyDescent="0.2"/>
    <row r="35" spans="2:8" ht="2.85" hidden="1" customHeight="1" x14ac:dyDescent="0.2"/>
    <row r="36" spans="2:8" ht="2.85" hidden="1" customHeight="1" x14ac:dyDescent="0.2"/>
    <row r="37" spans="2:8" ht="2.85" hidden="1" customHeight="1" x14ac:dyDescent="0.2"/>
    <row r="38" spans="2:8" ht="2.85" hidden="1" customHeight="1" x14ac:dyDescent="0.2"/>
    <row r="39" spans="2:8" ht="2.85" hidden="1" customHeight="1" x14ac:dyDescent="0.2"/>
    <row r="40" spans="2:8" ht="2.85" hidden="1" customHeight="1" x14ac:dyDescent="0.2"/>
    <row r="41" spans="2:8" ht="2.85" hidden="1" customHeight="1" x14ac:dyDescent="0.2"/>
    <row r="42" spans="2:8" ht="2.85" hidden="1" customHeight="1" x14ac:dyDescent="0.2"/>
    <row r="43" spans="2:8" ht="2.85" hidden="1" customHeight="1" x14ac:dyDescent="0.2"/>
    <row r="44" spans="2:8" ht="2.85" hidden="1" customHeight="1" x14ac:dyDescent="0.2"/>
    <row r="45" spans="2:8" ht="2.85" hidden="1" customHeight="1" x14ac:dyDescent="0.2"/>
    <row r="46" spans="2:8" ht="2.85" hidden="1" customHeight="1" x14ac:dyDescent="0.2"/>
    <row r="47" spans="2:8" ht="2.85" hidden="1" customHeight="1" x14ac:dyDescent="0.2"/>
    <row r="48" spans="2:8" s="1" customFormat="1" ht="24.6" customHeight="1" x14ac:dyDescent="0.2">
      <c r="B48" s="2" t="s">
        <v>0</v>
      </c>
      <c r="G48"/>
      <c r="H48"/>
    </row>
    <row r="49" spans="1:8" x14ac:dyDescent="0.2">
      <c r="B49" s="3" t="s">
        <v>1</v>
      </c>
      <c r="C49" s="3" t="s">
        <v>2</v>
      </c>
      <c r="D49" s="3" t="s">
        <v>3</v>
      </c>
      <c r="H49" s="4"/>
    </row>
    <row r="50" spans="1:8" ht="15.6" customHeight="1" x14ac:dyDescent="0.25">
      <c r="B50" s="5" t="s">
        <v>4</v>
      </c>
      <c r="C50" s="79">
        <v>1</v>
      </c>
      <c r="D50" s="6" t="s">
        <v>5</v>
      </c>
      <c r="F50" s="7"/>
      <c r="H50" s="8"/>
    </row>
    <row r="51" spans="1:8" ht="15.6" customHeight="1" x14ac:dyDescent="0.25">
      <c r="B51" s="9" t="s">
        <v>6</v>
      </c>
      <c r="C51" s="80">
        <f>H50/100</f>
        <v>0</v>
      </c>
      <c r="D51" s="10" t="s">
        <v>7</v>
      </c>
      <c r="F51" s="7"/>
      <c r="H51" s="11"/>
    </row>
    <row r="52" spans="1:8" ht="15.6" customHeight="1" x14ac:dyDescent="0.25">
      <c r="B52" s="9" t="s">
        <v>9</v>
      </c>
      <c r="C52" s="80">
        <f>A77/1000</f>
        <v>0</v>
      </c>
      <c r="D52" s="10" t="s">
        <v>8</v>
      </c>
      <c r="F52" s="7"/>
      <c r="H52" s="8"/>
    </row>
    <row r="53" spans="1:8" ht="15.6" customHeight="1" x14ac:dyDescent="0.25">
      <c r="B53" s="9" t="s">
        <v>10</v>
      </c>
      <c r="C53" s="81">
        <v>1</v>
      </c>
      <c r="D53" s="10" t="s">
        <v>11</v>
      </c>
      <c r="F53" s="7"/>
      <c r="H53" s="11"/>
    </row>
    <row r="54" spans="1:8" ht="15.6" customHeight="1" x14ac:dyDescent="0.25">
      <c r="B54" s="9" t="s">
        <v>13</v>
      </c>
      <c r="C54" s="81">
        <v>1</v>
      </c>
      <c r="D54" s="10" t="s">
        <v>14</v>
      </c>
      <c r="F54" s="7"/>
    </row>
    <row r="55" spans="1:8" ht="14.25" customHeight="1" x14ac:dyDescent="0.25">
      <c r="B55" s="9" t="s">
        <v>15</v>
      </c>
      <c r="C55" s="80">
        <f>A71/10</f>
        <v>10</v>
      </c>
      <c r="D55" s="10" t="s">
        <v>12</v>
      </c>
      <c r="F55" s="7"/>
      <c r="H55" s="11"/>
    </row>
    <row r="56" spans="1:8" ht="12.75" customHeight="1" x14ac:dyDescent="0.25">
      <c r="B56" s="9" t="s">
        <v>17</v>
      </c>
      <c r="C56" s="80">
        <f>A73/5</f>
        <v>20</v>
      </c>
      <c r="D56" s="10" t="s">
        <v>16</v>
      </c>
      <c r="F56" s="7"/>
    </row>
    <row r="57" spans="1:8" ht="15.75" customHeight="1" x14ac:dyDescent="0.25">
      <c r="B57" s="9" t="s">
        <v>18</v>
      </c>
      <c r="C57" s="82">
        <v>4</v>
      </c>
      <c r="D57" s="10" t="s">
        <v>88</v>
      </c>
    </row>
    <row r="58" spans="1:8" ht="15.6" customHeight="1" x14ac:dyDescent="0.25">
      <c r="B58" s="12" t="s">
        <v>19</v>
      </c>
      <c r="C58" s="83">
        <v>0</v>
      </c>
      <c r="D58" s="13" t="s">
        <v>20</v>
      </c>
    </row>
    <row r="59" spans="1:8" ht="7.5" customHeight="1" x14ac:dyDescent="0.2">
      <c r="C59" s="14"/>
    </row>
    <row r="60" spans="1:8" ht="15.6" customHeight="1" x14ac:dyDescent="0.25">
      <c r="B60" s="15" t="s">
        <v>21</v>
      </c>
      <c r="C60" s="16"/>
      <c r="D60" s="17"/>
      <c r="E60" s="17"/>
      <c r="F60" s="17"/>
    </row>
    <row r="61" spans="1:8" ht="15.6" customHeight="1" x14ac:dyDescent="0.25">
      <c r="A61" t="s">
        <v>22</v>
      </c>
      <c r="B61" s="18" t="s">
        <v>23</v>
      </c>
      <c r="C61" s="19">
        <f ca="1">slope</f>
        <v>0.98780763565272456</v>
      </c>
      <c r="D61" s="20" t="s">
        <v>24</v>
      </c>
      <c r="E61" s="21"/>
      <c r="F61" s="17"/>
    </row>
    <row r="62" spans="1:8" ht="15.6" customHeight="1" x14ac:dyDescent="0.25">
      <c r="B62" s="22" t="s">
        <v>25</v>
      </c>
      <c r="C62" s="23">
        <f ca="1">intercept</f>
        <v>9.9968232402945496</v>
      </c>
      <c r="D62" s="24" t="s">
        <v>26</v>
      </c>
      <c r="E62" s="21"/>
      <c r="F62" s="17"/>
    </row>
    <row r="63" spans="1:8" ht="15.6" customHeight="1" x14ac:dyDescent="0.25">
      <c r="B63" s="22" t="s">
        <v>27</v>
      </c>
      <c r="C63" s="23">
        <f ca="1">(blank+m*Cx-n*Cx^2)*(1+0.01*2.5*Ev*(RAND()-RAND()))*(1+0.01*2.5*Es*(RAND()-RAND()))</f>
        <v>9.8789742959378142</v>
      </c>
      <c r="D63" s="24" t="s">
        <v>28</v>
      </c>
      <c r="E63" s="21"/>
      <c r="F63" s="17"/>
    </row>
    <row r="64" spans="1:8" ht="15.6" customHeight="1" x14ac:dyDescent="0.25">
      <c r="B64" s="22" t="s">
        <v>29</v>
      </c>
      <c r="C64" s="23">
        <f>mo+z</f>
        <v>1</v>
      </c>
      <c r="D64" s="24" t="s">
        <v>30</v>
      </c>
      <c r="E64" s="21"/>
      <c r="F64" s="17"/>
    </row>
    <row r="65" spans="1:9" ht="15.6" customHeight="1" x14ac:dyDescent="0.25">
      <c r="B65" s="22" t="s">
        <v>31</v>
      </c>
      <c r="C65" s="25">
        <f ca="1">intercept/slope</f>
        <v>10.120212559086809</v>
      </c>
      <c r="D65" s="24" t="s">
        <v>32</v>
      </c>
      <c r="E65" s="21"/>
      <c r="F65" s="17"/>
    </row>
    <row r="66" spans="1:9" ht="15.6" customHeight="1" x14ac:dyDescent="0.25">
      <c r="B66" s="22" t="s">
        <v>33</v>
      </c>
      <c r="C66" s="26">
        <f ca="1">(result-Cx)/Cx</f>
        <v>1.2021255908680927E-2</v>
      </c>
      <c r="D66" s="27" t="s">
        <v>34</v>
      </c>
      <c r="E66" s="21"/>
      <c r="F66" s="17"/>
    </row>
    <row r="67" spans="1:9" ht="15.6" customHeight="1" x14ac:dyDescent="0.25">
      <c r="B67" s="22" t="s">
        <v>35</v>
      </c>
      <c r="C67" s="28">
        <f>m/mo</f>
        <v>1</v>
      </c>
      <c r="D67" s="24" t="s">
        <v>36</v>
      </c>
      <c r="E67" s="21"/>
      <c r="F67" s="17"/>
    </row>
    <row r="68" spans="1:9" ht="15" x14ac:dyDescent="0.25">
      <c r="B68" s="29" t="s">
        <v>37</v>
      </c>
      <c r="C68" s="30">
        <f ca="1">F118</f>
        <v>1.3328304077883053E-2</v>
      </c>
      <c r="D68" s="31" t="s">
        <v>38</v>
      </c>
    </row>
    <row r="69" spans="1:9" ht="27" customHeight="1" x14ac:dyDescent="0.25">
      <c r="B69" s="32" t="s">
        <v>39</v>
      </c>
      <c r="C69" s="33"/>
      <c r="D69" s="34" t="s">
        <v>40</v>
      </c>
    </row>
    <row r="70" spans="1:9" ht="15" x14ac:dyDescent="0.25">
      <c r="B70" s="18" t="s">
        <v>41</v>
      </c>
      <c r="C70" s="23">
        <f ca="1">I119</f>
        <v>10.133421172723828</v>
      </c>
      <c r="D70" s="35" t="s">
        <v>42</v>
      </c>
    </row>
    <row r="71" spans="1:9" ht="14.1" customHeight="1" x14ac:dyDescent="0.25">
      <c r="A71" s="36">
        <v>100</v>
      </c>
      <c r="B71" s="37" t="s">
        <v>43</v>
      </c>
      <c r="C71" s="38">
        <f ca="1">I120</f>
        <v>0.37334203035657765</v>
      </c>
      <c r="D71" s="27" t="s">
        <v>44</v>
      </c>
    </row>
    <row r="72" spans="1:9" ht="15" x14ac:dyDescent="0.25">
      <c r="A72" s="36"/>
      <c r="B72" s="22" t="s">
        <v>45</v>
      </c>
      <c r="C72" s="39">
        <f ca="1">I121</f>
        <v>3.6842644156694478E-2</v>
      </c>
      <c r="D72" s="27" t="s">
        <v>46</v>
      </c>
    </row>
    <row r="73" spans="1:9" ht="15" x14ac:dyDescent="0.25">
      <c r="A73" s="36">
        <v>100</v>
      </c>
      <c r="B73" s="40" t="s">
        <v>47</v>
      </c>
      <c r="C73" s="41">
        <f ca="1">I122</f>
        <v>1.3342117272382836E-2</v>
      </c>
      <c r="D73" s="31" t="s">
        <v>48</v>
      </c>
    </row>
    <row r="74" spans="1:9" ht="24.6" customHeight="1" x14ac:dyDescent="0.2">
      <c r="A74" s="36"/>
      <c r="B74" t="s">
        <v>87</v>
      </c>
      <c r="H74" s="84" t="s">
        <v>49</v>
      </c>
      <c r="I74" s="85">
        <f ca="1">I92</f>
        <v>0.99988448641589489</v>
      </c>
    </row>
    <row r="75" spans="1:9" ht="21.6" customHeight="1" x14ac:dyDescent="0.2">
      <c r="A75" s="36">
        <v>52</v>
      </c>
      <c r="B75" s="8" t="s">
        <v>22</v>
      </c>
      <c r="C75" t="s">
        <v>22</v>
      </c>
      <c r="H75" t="s">
        <v>22</v>
      </c>
      <c r="I75" t="s">
        <v>22</v>
      </c>
    </row>
    <row r="76" spans="1:9" x14ac:dyDescent="0.2">
      <c r="A76" s="36"/>
      <c r="B76" s="8" t="s">
        <v>50</v>
      </c>
    </row>
    <row r="77" spans="1:9" x14ac:dyDescent="0.2">
      <c r="A77" s="36">
        <v>0</v>
      </c>
      <c r="B77" s="42">
        <v>0</v>
      </c>
      <c r="C77" s="43">
        <f t="shared" ref="C77:C87" si="0">blank+m*B77-n*B77^2</f>
        <v>0</v>
      </c>
      <c r="D77" s="14"/>
      <c r="G77" t="s">
        <v>22</v>
      </c>
      <c r="H77" t="s">
        <v>51</v>
      </c>
    </row>
    <row r="78" spans="1:9" x14ac:dyDescent="0.2">
      <c r="B78" s="21">
        <v>1</v>
      </c>
      <c r="C78" s="43">
        <f t="shared" si="0"/>
        <v>1</v>
      </c>
      <c r="D78" s="14"/>
      <c r="G78" t="s">
        <v>22</v>
      </c>
      <c r="H78" t="s">
        <v>22</v>
      </c>
    </row>
    <row r="79" spans="1:9" x14ac:dyDescent="0.2">
      <c r="B79" s="21">
        <v>2</v>
      </c>
      <c r="C79" s="43">
        <f t="shared" si="0"/>
        <v>2</v>
      </c>
      <c r="D79" s="14"/>
      <c r="G79" t="s">
        <v>22</v>
      </c>
      <c r="H79" t="s">
        <v>22</v>
      </c>
    </row>
    <row r="80" spans="1:9" x14ac:dyDescent="0.2">
      <c r="B80" s="21">
        <v>3</v>
      </c>
      <c r="C80" s="43">
        <f t="shared" si="0"/>
        <v>3</v>
      </c>
      <c r="D80" s="14"/>
      <c r="G80" t="s">
        <v>22</v>
      </c>
      <c r="H80" t="s">
        <v>22</v>
      </c>
    </row>
    <row r="81" spans="1:33" x14ac:dyDescent="0.2">
      <c r="B81" s="21">
        <v>4</v>
      </c>
      <c r="C81" s="43">
        <f t="shared" si="0"/>
        <v>4</v>
      </c>
      <c r="D81" s="14"/>
      <c r="G81" t="s">
        <v>22</v>
      </c>
      <c r="H81" t="s">
        <v>22</v>
      </c>
    </row>
    <row r="82" spans="1:33" x14ac:dyDescent="0.2">
      <c r="B82" s="21">
        <v>5</v>
      </c>
      <c r="C82" s="43">
        <f t="shared" si="0"/>
        <v>5</v>
      </c>
      <c r="D82" s="14"/>
      <c r="G82" t="s">
        <v>22</v>
      </c>
      <c r="H82" t="s">
        <v>22</v>
      </c>
    </row>
    <row r="83" spans="1:33" x14ac:dyDescent="0.2">
      <c r="B83" s="21">
        <v>6</v>
      </c>
      <c r="C83" s="43">
        <f t="shared" si="0"/>
        <v>6</v>
      </c>
      <c r="D83" s="14"/>
      <c r="G83" t="s">
        <v>22</v>
      </c>
      <c r="H83" t="s">
        <v>22</v>
      </c>
    </row>
    <row r="84" spans="1:33" x14ac:dyDescent="0.2">
      <c r="B84" s="21">
        <v>7</v>
      </c>
      <c r="C84" s="43">
        <f t="shared" si="0"/>
        <v>7</v>
      </c>
      <c r="D84" s="14"/>
      <c r="G84" t="s">
        <v>22</v>
      </c>
      <c r="H84" t="s">
        <v>22</v>
      </c>
    </row>
    <row r="85" spans="1:33" x14ac:dyDescent="0.2">
      <c r="B85" s="21">
        <v>8</v>
      </c>
      <c r="C85" s="43">
        <f t="shared" si="0"/>
        <v>8</v>
      </c>
      <c r="D85" s="14"/>
      <c r="G85" t="s">
        <v>22</v>
      </c>
      <c r="H85" t="s">
        <v>22</v>
      </c>
    </row>
    <row r="86" spans="1:33" x14ac:dyDescent="0.2">
      <c r="B86" s="21">
        <v>9</v>
      </c>
      <c r="C86" s="43">
        <f t="shared" si="0"/>
        <v>9</v>
      </c>
      <c r="D86" s="14"/>
      <c r="G86" t="s">
        <v>22</v>
      </c>
      <c r="H86" t="s">
        <v>22</v>
      </c>
    </row>
    <row r="87" spans="1:33" x14ac:dyDescent="0.2">
      <c r="B87" s="44">
        <v>10</v>
      </c>
      <c r="C87" s="43">
        <f t="shared" si="0"/>
        <v>10</v>
      </c>
      <c r="G87" t="s">
        <v>22</v>
      </c>
      <c r="H87" t="s">
        <v>22</v>
      </c>
    </row>
    <row r="88" spans="1:33" x14ac:dyDescent="0.2">
      <c r="J88" t="s">
        <v>52</v>
      </c>
    </row>
    <row r="89" spans="1:33" x14ac:dyDescent="0.2">
      <c r="A89" s="17"/>
      <c r="B89" s="45" t="s">
        <v>53</v>
      </c>
      <c r="C89" s="17"/>
      <c r="D89" s="17"/>
      <c r="E89" s="42" t="s">
        <v>54</v>
      </c>
      <c r="F89" s="46" t="s">
        <v>55</v>
      </c>
      <c r="H89" s="47" t="s">
        <v>56</v>
      </c>
      <c r="J89" s="48" t="s">
        <v>57</v>
      </c>
      <c r="K89">
        <v>1</v>
      </c>
      <c r="L89">
        <v>2</v>
      </c>
      <c r="M89">
        <v>3</v>
      </c>
      <c r="N89">
        <v>4</v>
      </c>
      <c r="O89">
        <v>5</v>
      </c>
      <c r="P89">
        <v>6</v>
      </c>
      <c r="Q89">
        <v>7</v>
      </c>
      <c r="R89">
        <v>8</v>
      </c>
      <c r="S89">
        <v>9</v>
      </c>
      <c r="T89">
        <v>10</v>
      </c>
      <c r="U89">
        <v>11</v>
      </c>
      <c r="V89">
        <v>12</v>
      </c>
      <c r="W89">
        <v>13</v>
      </c>
      <c r="X89">
        <v>14</v>
      </c>
      <c r="Y89">
        <v>15</v>
      </c>
      <c r="Z89">
        <v>16</v>
      </c>
      <c r="AA89">
        <v>17</v>
      </c>
      <c r="AB89">
        <v>18</v>
      </c>
      <c r="AC89">
        <v>19</v>
      </c>
      <c r="AD89">
        <v>20</v>
      </c>
    </row>
    <row r="90" spans="1:33" ht="14.25" x14ac:dyDescent="0.2">
      <c r="A90" s="49">
        <v>1</v>
      </c>
      <c r="B90" s="50">
        <v>0</v>
      </c>
      <c r="C90" s="51">
        <f t="shared" ref="C90:C107" ca="1" si="1">IF(A90&lt;ns+1,blank+(m*(B90+Cx)-n*(B90+Cx)^2)*(1+0.01*2.5*Ev*(RAND()-RAND()))*(1+0.01*2.5*Es*(RAND()-RAND())),"0")</f>
        <v>10.020857460020114</v>
      </c>
      <c r="D90" s="46">
        <f t="shared" ref="D90" si="2">IF(A90&lt;ns+1,B90,"" )</f>
        <v>0</v>
      </c>
      <c r="E90" s="21">
        <f t="shared" ref="E90:E107" si="3">D90^2</f>
        <v>0</v>
      </c>
      <c r="F90" s="52">
        <f t="shared" ref="F90:F107" ca="1" si="4">C90*D90</f>
        <v>0</v>
      </c>
      <c r="G90" s="53">
        <f t="shared" ref="G90:G107" ca="1" si="5">IF(A90&lt;ns+1,(C90-$F$112-$F$111*D90)^2,"" )</f>
        <v>5.7764371781661862E-4</v>
      </c>
      <c r="H90" s="42" t="s">
        <v>23</v>
      </c>
      <c r="I90" s="54">
        <f ca="1">SLOPE(C90:C107,D90:D107)</f>
        <v>0.98780763565272456</v>
      </c>
      <c r="J90">
        <f t="shared" ref="J90:J107" si="6">$B90+Cx</f>
        <v>10</v>
      </c>
      <c r="K90" s="55">
        <f t="shared" ref="K90:T99" ca="1" si="7">blank+(m*($B90+Cx)-($B90+Cx)^2*n)*(1+0.01*2.5*Es*(RAND()-RAND()))*(1+0.01*2.5*Ev*(RAND()-RAND()))</f>
        <v>10.076001821707786</v>
      </c>
      <c r="L90" s="55">
        <f t="shared" ca="1" si="7"/>
        <v>9.9793514093748819</v>
      </c>
      <c r="M90" s="55">
        <f t="shared" ca="1" si="7"/>
        <v>9.9500255047424719</v>
      </c>
      <c r="N90" s="55">
        <f t="shared" ca="1" si="7"/>
        <v>10.071021617526682</v>
      </c>
      <c r="O90" s="55">
        <f t="shared" ca="1" si="7"/>
        <v>10.139056038852402</v>
      </c>
      <c r="P90" s="55">
        <f t="shared" ca="1" si="7"/>
        <v>9.7450057535971535</v>
      </c>
      <c r="Q90" s="55">
        <f t="shared" ca="1" si="7"/>
        <v>9.9686954335474489</v>
      </c>
      <c r="R90" s="55">
        <f t="shared" ca="1" si="7"/>
        <v>9.973113608816492</v>
      </c>
      <c r="S90" s="55">
        <f t="shared" ca="1" si="7"/>
        <v>9.9599107218788099</v>
      </c>
      <c r="T90" s="55">
        <f t="shared" ca="1" si="7"/>
        <v>10.04231424561902</v>
      </c>
      <c r="U90" s="55">
        <f t="shared" ref="U90:AD99" ca="1" si="8">blank+(m*($B90+Cx)-($B90+Cx)^2*n)*(1+0.01*2.5*Es*(RAND()-RAND()))*(1+0.01*2.5*Ev*(RAND()-RAND()))</f>
        <v>10.127920177761904</v>
      </c>
      <c r="V90" s="55">
        <f t="shared" ca="1" si="8"/>
        <v>10.151983606498415</v>
      </c>
      <c r="W90" s="55">
        <f t="shared" ca="1" si="8"/>
        <v>9.9786070588178397</v>
      </c>
      <c r="X90" s="55">
        <f t="shared" ca="1" si="8"/>
        <v>9.952994873850141</v>
      </c>
      <c r="Y90" s="55">
        <f t="shared" ca="1" si="8"/>
        <v>10.066770241841965</v>
      </c>
      <c r="Z90" s="55">
        <f t="shared" ca="1" si="8"/>
        <v>9.9655826903895672</v>
      </c>
      <c r="AA90" s="55">
        <f t="shared" ca="1" si="8"/>
        <v>9.8330136402402548</v>
      </c>
      <c r="AB90" s="55">
        <f t="shared" ca="1" si="8"/>
        <v>10.119644029400948</v>
      </c>
      <c r="AC90" s="55">
        <f t="shared" ca="1" si="8"/>
        <v>10.263458594708506</v>
      </c>
      <c r="AD90" s="55">
        <f t="shared" ca="1" si="8"/>
        <v>10.003864401229874</v>
      </c>
      <c r="AF90">
        <v>0</v>
      </c>
      <c r="AG90">
        <f t="shared" ref="AG90:AG107" ca="1" si="9">IF(A90&lt;ns+1,blank+(m*(B90+Cx)-n*(B90+Cx)^2)*(1+0.01*2.5*Ev*(RAND()-RAND()))*(1+0.01*2.5*Es*(RAND()-RAND())),NA())</f>
        <v>10.048055982696207</v>
      </c>
    </row>
    <row r="91" spans="1:33" ht="14.25" x14ac:dyDescent="0.2">
      <c r="A91" s="56">
        <v>2</v>
      </c>
      <c r="B91" s="50">
        <f t="shared" ref="B91:B107" si="10">B90+Cs/(ns-1)</f>
        <v>6.666666666666667</v>
      </c>
      <c r="C91" s="51">
        <f t="shared" ca="1" si="1"/>
        <v>16.612243743222521</v>
      </c>
      <c r="D91" s="52">
        <f t="shared" ref="D91:D107" si="11">IF(A91&lt;ns+1,B91,"0" )</f>
        <v>6.666666666666667</v>
      </c>
      <c r="E91" s="21">
        <f t="shared" si="3"/>
        <v>44.44444444444445</v>
      </c>
      <c r="F91" s="52">
        <f t="shared" ca="1" si="4"/>
        <v>110.74829162148347</v>
      </c>
      <c r="G91" s="53">
        <f t="shared" ca="1" si="5"/>
        <v>9.0217722975622424E-4</v>
      </c>
      <c r="H91" s="21" t="s">
        <v>58</v>
      </c>
      <c r="I91" s="57">
        <f ca="1">INTERCEPT(C90:C107,D90:D107)</f>
        <v>9.9968232402945496</v>
      </c>
      <c r="J91">
        <f t="shared" si="6"/>
        <v>16.666666666666668</v>
      </c>
      <c r="K91" s="55">
        <f t="shared" ca="1" si="7"/>
        <v>16.65647284717204</v>
      </c>
      <c r="L91" s="55">
        <f t="shared" ca="1" si="7"/>
        <v>16.742276570420049</v>
      </c>
      <c r="M91" s="55">
        <f t="shared" ca="1" si="7"/>
        <v>16.826886256580391</v>
      </c>
      <c r="N91" s="55">
        <f t="shared" ca="1" si="7"/>
        <v>16.512592420586845</v>
      </c>
      <c r="O91" s="55">
        <f t="shared" ca="1" si="7"/>
        <v>17.151701663043724</v>
      </c>
      <c r="P91" s="55">
        <f t="shared" ca="1" si="7"/>
        <v>16.646382408451728</v>
      </c>
      <c r="Q91" s="55">
        <f t="shared" ca="1" si="7"/>
        <v>16.518904040729016</v>
      </c>
      <c r="R91" s="55">
        <f t="shared" ca="1" si="7"/>
        <v>16.766393352039263</v>
      </c>
      <c r="S91" s="55">
        <f t="shared" ca="1" si="7"/>
        <v>16.322582223030686</v>
      </c>
      <c r="T91" s="55">
        <f t="shared" ca="1" si="7"/>
        <v>16.711960754494463</v>
      </c>
      <c r="U91" s="55">
        <f t="shared" ca="1" si="8"/>
        <v>16.618794416896932</v>
      </c>
      <c r="V91" s="55">
        <f t="shared" ca="1" si="8"/>
        <v>16.959270598788333</v>
      </c>
      <c r="W91" s="55">
        <f t="shared" ca="1" si="8"/>
        <v>17.080931153515412</v>
      </c>
      <c r="X91" s="55">
        <f t="shared" ca="1" si="8"/>
        <v>16.633173785218592</v>
      </c>
      <c r="Y91" s="55">
        <f t="shared" ca="1" si="8"/>
        <v>16.845890715312873</v>
      </c>
      <c r="Z91" s="55">
        <f t="shared" ca="1" si="8"/>
        <v>16.448281571270897</v>
      </c>
      <c r="AA91" s="55">
        <f t="shared" ca="1" si="8"/>
        <v>16.577570746041886</v>
      </c>
      <c r="AB91" s="55">
        <f t="shared" ca="1" si="8"/>
        <v>16.589953862136145</v>
      </c>
      <c r="AC91" s="55">
        <f t="shared" ca="1" si="8"/>
        <v>16.753302813969185</v>
      </c>
      <c r="AD91" s="55">
        <f t="shared" ca="1" si="8"/>
        <v>17.085723792299429</v>
      </c>
      <c r="AF91" s="78">
        <f t="shared" ref="AF91:AF107" si="12">IF(A91&lt;ns+1,B91,NA())</f>
        <v>6.666666666666667</v>
      </c>
      <c r="AG91">
        <f t="shared" ca="1" si="9"/>
        <v>16.44736055188072</v>
      </c>
    </row>
    <row r="92" spans="1:33" ht="14.25" x14ac:dyDescent="0.2">
      <c r="A92" s="56">
        <v>3</v>
      </c>
      <c r="B92" s="50">
        <f t="shared" si="10"/>
        <v>13.333333333333334</v>
      </c>
      <c r="C92" s="51">
        <f t="shared" ca="1" si="1"/>
        <v>23.035416526001235</v>
      </c>
      <c r="D92" s="52">
        <f t="shared" si="11"/>
        <v>13.333333333333334</v>
      </c>
      <c r="E92" s="21">
        <f t="shared" si="3"/>
        <v>177.7777777777778</v>
      </c>
      <c r="F92" s="52">
        <f t="shared" ca="1" si="4"/>
        <v>307.1388870133498</v>
      </c>
      <c r="G92" s="53">
        <f t="shared" ca="1" si="5"/>
        <v>1.7470280762443949E-2</v>
      </c>
      <c r="H92" s="44" t="s">
        <v>59</v>
      </c>
      <c r="I92" s="58">
        <f ca="1">RSQ(C90:C107,D90:D107)</f>
        <v>0.99988448641589489</v>
      </c>
      <c r="J92">
        <f t="shared" si="6"/>
        <v>23.333333333333336</v>
      </c>
      <c r="K92" s="55">
        <f t="shared" ca="1" si="7"/>
        <v>23.219205812923089</v>
      </c>
      <c r="L92" s="55">
        <f t="shared" ca="1" si="7"/>
        <v>23.085374771868562</v>
      </c>
      <c r="M92" s="55">
        <f t="shared" ca="1" si="7"/>
        <v>23.183253587288377</v>
      </c>
      <c r="N92" s="55">
        <f t="shared" ca="1" si="7"/>
        <v>22.983247609058232</v>
      </c>
      <c r="O92" s="55">
        <f t="shared" ca="1" si="7"/>
        <v>23.101093554173357</v>
      </c>
      <c r="P92" s="55">
        <f t="shared" ca="1" si="7"/>
        <v>22.784812899690827</v>
      </c>
      <c r="Q92" s="55">
        <f t="shared" ca="1" si="7"/>
        <v>23.764644692400879</v>
      </c>
      <c r="R92" s="55">
        <f t="shared" ca="1" si="7"/>
        <v>23.682964505332755</v>
      </c>
      <c r="S92" s="55">
        <f t="shared" ca="1" si="7"/>
        <v>23.25142837923509</v>
      </c>
      <c r="T92" s="55">
        <f t="shared" ca="1" si="7"/>
        <v>23.025060548824072</v>
      </c>
      <c r="U92" s="55">
        <f t="shared" ca="1" si="8"/>
        <v>22.746073954204945</v>
      </c>
      <c r="V92" s="55">
        <f t="shared" ca="1" si="8"/>
        <v>23.537909595488422</v>
      </c>
      <c r="W92" s="55">
        <f t="shared" ca="1" si="8"/>
        <v>23.550239668413194</v>
      </c>
      <c r="X92" s="55">
        <f t="shared" ca="1" si="8"/>
        <v>23.605703656233622</v>
      </c>
      <c r="Y92" s="55">
        <f t="shared" ca="1" si="8"/>
        <v>23.705704131444918</v>
      </c>
      <c r="Z92" s="55">
        <f t="shared" ca="1" si="8"/>
        <v>23.341512820572714</v>
      </c>
      <c r="AA92" s="55">
        <f t="shared" ca="1" si="8"/>
        <v>23.227326249103811</v>
      </c>
      <c r="AB92" s="55">
        <f t="shared" ca="1" si="8"/>
        <v>23.714730475873978</v>
      </c>
      <c r="AC92" s="55">
        <f t="shared" ca="1" si="8"/>
        <v>22.958268425064073</v>
      </c>
      <c r="AD92" s="55">
        <f t="shared" ca="1" si="8"/>
        <v>23.406850808077085</v>
      </c>
      <c r="AF92" s="78">
        <f t="shared" si="12"/>
        <v>13.333333333333334</v>
      </c>
      <c r="AG92">
        <f t="shared" ca="1" si="9"/>
        <v>23.476267574469496</v>
      </c>
    </row>
    <row r="93" spans="1:33" ht="14.25" x14ac:dyDescent="0.2">
      <c r="A93" s="56">
        <v>4</v>
      </c>
      <c r="B93" s="50">
        <f t="shared" si="10"/>
        <v>20</v>
      </c>
      <c r="C93" s="51">
        <f t="shared" ca="1" si="1"/>
        <v>29.831080658043309</v>
      </c>
      <c r="D93" s="52">
        <f t="shared" si="11"/>
        <v>20</v>
      </c>
      <c r="E93" s="21">
        <f t="shared" si="3"/>
        <v>400</v>
      </c>
      <c r="F93" s="52">
        <f t="shared" ca="1" si="4"/>
        <v>596.62161316086622</v>
      </c>
      <c r="G93" s="53">
        <f t="shared" ca="1" si="5"/>
        <v>6.1003448953789487E-3</v>
      </c>
      <c r="J93">
        <f t="shared" si="6"/>
        <v>30</v>
      </c>
      <c r="K93" s="55">
        <f t="shared" ca="1" si="7"/>
        <v>29.35930506915328</v>
      </c>
      <c r="L93" s="55">
        <f t="shared" ca="1" si="7"/>
        <v>30.604059417526621</v>
      </c>
      <c r="M93" s="55">
        <f t="shared" ca="1" si="7"/>
        <v>29.420934496863154</v>
      </c>
      <c r="N93" s="55">
        <f t="shared" ca="1" si="7"/>
        <v>29.037609577466785</v>
      </c>
      <c r="O93" s="55">
        <f t="shared" ca="1" si="7"/>
        <v>29.485617485746207</v>
      </c>
      <c r="P93" s="55">
        <f t="shared" ca="1" si="7"/>
        <v>30.182932656627305</v>
      </c>
      <c r="Q93" s="55">
        <f t="shared" ca="1" si="7"/>
        <v>29.460844007108328</v>
      </c>
      <c r="R93" s="55">
        <f t="shared" ca="1" si="7"/>
        <v>30.092605262712834</v>
      </c>
      <c r="S93" s="55">
        <f t="shared" ca="1" si="7"/>
        <v>30.035743329819191</v>
      </c>
      <c r="T93" s="55">
        <f t="shared" ca="1" si="7"/>
        <v>30.177492807476</v>
      </c>
      <c r="U93" s="55">
        <f t="shared" ca="1" si="8"/>
        <v>30.020265408452779</v>
      </c>
      <c r="V93" s="55">
        <f t="shared" ca="1" si="8"/>
        <v>30.216035451102613</v>
      </c>
      <c r="W93" s="55">
        <f t="shared" ca="1" si="8"/>
        <v>29.435769177735686</v>
      </c>
      <c r="X93" s="55">
        <f t="shared" ca="1" si="8"/>
        <v>29.737230930620004</v>
      </c>
      <c r="Y93" s="55">
        <f t="shared" ca="1" si="8"/>
        <v>29.617528825561106</v>
      </c>
      <c r="Z93" s="55">
        <f t="shared" ca="1" si="8"/>
        <v>29.69337089862416</v>
      </c>
      <c r="AA93" s="55">
        <f t="shared" ca="1" si="8"/>
        <v>30.407262132057255</v>
      </c>
      <c r="AB93" s="55">
        <f t="shared" ca="1" si="8"/>
        <v>30.642655355569236</v>
      </c>
      <c r="AC93" s="55">
        <f t="shared" ca="1" si="8"/>
        <v>30.371087307296758</v>
      </c>
      <c r="AD93" s="55">
        <f t="shared" ca="1" si="8"/>
        <v>29.809414397650901</v>
      </c>
      <c r="AF93" s="78">
        <f t="shared" si="12"/>
        <v>20</v>
      </c>
      <c r="AG93">
        <f t="shared" ca="1" si="9"/>
        <v>29.247220337517206</v>
      </c>
    </row>
    <row r="94" spans="1:33" ht="14.25" x14ac:dyDescent="0.2">
      <c r="A94" s="56">
        <v>5</v>
      </c>
      <c r="B94" s="50">
        <f t="shared" si="10"/>
        <v>26.666666666666668</v>
      </c>
      <c r="C94" s="51" t="str">
        <f t="shared" ca="1" si="1"/>
        <v>0</v>
      </c>
      <c r="D94" s="52" t="str">
        <f t="shared" si="11"/>
        <v>0</v>
      </c>
      <c r="E94" s="21">
        <f t="shared" si="3"/>
        <v>0</v>
      </c>
      <c r="F94" s="52">
        <f t="shared" ca="1" si="4"/>
        <v>0</v>
      </c>
      <c r="G94" s="53" t="str">
        <f t="shared" si="5"/>
        <v/>
      </c>
      <c r="J94">
        <f t="shared" si="6"/>
        <v>36.666666666666671</v>
      </c>
      <c r="K94" s="55">
        <f t="shared" ca="1" si="7"/>
        <v>35.605526381468749</v>
      </c>
      <c r="L94" s="55">
        <f t="shared" ca="1" si="7"/>
        <v>36.276704283484939</v>
      </c>
      <c r="M94" s="55">
        <f t="shared" ca="1" si="7"/>
        <v>36.414224933945903</v>
      </c>
      <c r="N94" s="55">
        <f t="shared" ca="1" si="7"/>
        <v>35.710340752576975</v>
      </c>
      <c r="O94" s="55">
        <f t="shared" ca="1" si="7"/>
        <v>36.697899569284814</v>
      </c>
      <c r="P94" s="55">
        <f t="shared" ca="1" si="7"/>
        <v>37.207469542884539</v>
      </c>
      <c r="Q94" s="55">
        <f t="shared" ca="1" si="7"/>
        <v>37.813393947909738</v>
      </c>
      <c r="R94" s="55">
        <f t="shared" ca="1" si="7"/>
        <v>36.665241805216496</v>
      </c>
      <c r="S94" s="55">
        <f t="shared" ca="1" si="7"/>
        <v>37.156887572970426</v>
      </c>
      <c r="T94" s="55">
        <f t="shared" ca="1" si="7"/>
        <v>36.642622193387389</v>
      </c>
      <c r="U94" s="55">
        <f t="shared" ca="1" si="8"/>
        <v>36.764542347560806</v>
      </c>
      <c r="V94" s="55">
        <f t="shared" ca="1" si="8"/>
        <v>35.93115893804346</v>
      </c>
      <c r="W94" s="55">
        <f t="shared" ca="1" si="8"/>
        <v>36.643293888027465</v>
      </c>
      <c r="X94" s="55">
        <f t="shared" ca="1" si="8"/>
        <v>35.859498728030331</v>
      </c>
      <c r="Y94" s="55">
        <f t="shared" ca="1" si="8"/>
        <v>36.999815332718491</v>
      </c>
      <c r="Z94" s="55">
        <f t="shared" ca="1" si="8"/>
        <v>36.680051721890337</v>
      </c>
      <c r="AA94" s="55">
        <f t="shared" ca="1" si="8"/>
        <v>36.295058924376335</v>
      </c>
      <c r="AB94" s="55">
        <f t="shared" ca="1" si="8"/>
        <v>36.156108458569207</v>
      </c>
      <c r="AC94" s="55">
        <f t="shared" ca="1" si="8"/>
        <v>36.313133585240188</v>
      </c>
      <c r="AD94" s="55">
        <f t="shared" ca="1" si="8"/>
        <v>36.866903240087453</v>
      </c>
      <c r="AF94" s="78" t="e">
        <f t="shared" si="12"/>
        <v>#N/A</v>
      </c>
      <c r="AG94" t="e">
        <f t="shared" ca="1" si="9"/>
        <v>#N/A</v>
      </c>
    </row>
    <row r="95" spans="1:33" ht="14.25" x14ac:dyDescent="0.2">
      <c r="A95" s="56">
        <v>6</v>
      </c>
      <c r="B95" s="50">
        <f t="shared" si="10"/>
        <v>33.333333333333336</v>
      </c>
      <c r="C95" s="51" t="str">
        <f t="shared" ca="1" si="1"/>
        <v>0</v>
      </c>
      <c r="D95" s="52" t="str">
        <f t="shared" si="11"/>
        <v>0</v>
      </c>
      <c r="E95" s="21">
        <f t="shared" si="3"/>
        <v>0</v>
      </c>
      <c r="F95" s="52">
        <f t="shared" ca="1" si="4"/>
        <v>0</v>
      </c>
      <c r="G95" s="53" t="str">
        <f t="shared" si="5"/>
        <v/>
      </c>
      <c r="J95">
        <f t="shared" si="6"/>
        <v>43.333333333333336</v>
      </c>
      <c r="K95" s="55">
        <f t="shared" ca="1" si="7"/>
        <v>44.249086351031096</v>
      </c>
      <c r="L95" s="55">
        <f t="shared" ca="1" si="7"/>
        <v>42.999977072148994</v>
      </c>
      <c r="M95" s="55">
        <f t="shared" ca="1" si="7"/>
        <v>43.971209705543352</v>
      </c>
      <c r="N95" s="55">
        <f t="shared" ca="1" si="7"/>
        <v>44.153122565794575</v>
      </c>
      <c r="O95" s="55">
        <f t="shared" ca="1" si="7"/>
        <v>42.397487150737597</v>
      </c>
      <c r="P95" s="55">
        <f t="shared" ca="1" si="7"/>
        <v>43.149182143628131</v>
      </c>
      <c r="Q95" s="55">
        <f t="shared" ca="1" si="7"/>
        <v>44.023843872050591</v>
      </c>
      <c r="R95" s="55">
        <f t="shared" ca="1" si="7"/>
        <v>42.766549205684434</v>
      </c>
      <c r="S95" s="55">
        <f t="shared" ca="1" si="7"/>
        <v>43.67439075859135</v>
      </c>
      <c r="T95" s="55">
        <f t="shared" ca="1" si="7"/>
        <v>43.494885601042306</v>
      </c>
      <c r="U95" s="55">
        <f t="shared" ca="1" si="8"/>
        <v>42.709973601586803</v>
      </c>
      <c r="V95" s="55">
        <f t="shared" ca="1" si="8"/>
        <v>43.341114964288316</v>
      </c>
      <c r="W95" s="55">
        <f t="shared" ca="1" si="8"/>
        <v>43.322361421792394</v>
      </c>
      <c r="X95" s="55">
        <f t="shared" ca="1" si="8"/>
        <v>43.983434039630282</v>
      </c>
      <c r="Y95" s="55">
        <f t="shared" ca="1" si="8"/>
        <v>43.302655843745164</v>
      </c>
      <c r="Z95" s="55">
        <f t="shared" ca="1" si="8"/>
        <v>42.328782216992487</v>
      </c>
      <c r="AA95" s="55">
        <f t="shared" ca="1" si="8"/>
        <v>42.80196947679061</v>
      </c>
      <c r="AB95" s="55">
        <f t="shared" ca="1" si="8"/>
        <v>44.150243327211925</v>
      </c>
      <c r="AC95" s="55">
        <f t="shared" ca="1" si="8"/>
        <v>43.090550150356748</v>
      </c>
      <c r="AD95" s="55">
        <f t="shared" ca="1" si="8"/>
        <v>42.842435568941049</v>
      </c>
      <c r="AF95" s="78" t="e">
        <f t="shared" si="12"/>
        <v>#N/A</v>
      </c>
      <c r="AG95" t="e">
        <f t="shared" ca="1" si="9"/>
        <v>#N/A</v>
      </c>
    </row>
    <row r="96" spans="1:33" ht="14.25" x14ac:dyDescent="0.2">
      <c r="A96" s="56">
        <v>7</v>
      </c>
      <c r="B96" s="50">
        <f t="shared" si="10"/>
        <v>40</v>
      </c>
      <c r="C96" s="51" t="str">
        <f t="shared" ca="1" si="1"/>
        <v>0</v>
      </c>
      <c r="D96" s="52" t="str">
        <f t="shared" si="11"/>
        <v>0</v>
      </c>
      <c r="E96" s="21">
        <f t="shared" si="3"/>
        <v>0</v>
      </c>
      <c r="F96" s="52">
        <f t="shared" ca="1" si="4"/>
        <v>0</v>
      </c>
      <c r="G96" s="53" t="str">
        <f t="shared" si="5"/>
        <v/>
      </c>
      <c r="J96">
        <f t="shared" si="6"/>
        <v>50</v>
      </c>
      <c r="K96" s="55">
        <f t="shared" ca="1" si="7"/>
        <v>49.278928019623507</v>
      </c>
      <c r="L96" s="55">
        <f t="shared" ca="1" si="7"/>
        <v>50.823245043248569</v>
      </c>
      <c r="M96" s="55">
        <f t="shared" ca="1" si="7"/>
        <v>49.108183501016271</v>
      </c>
      <c r="N96" s="55">
        <f t="shared" ca="1" si="7"/>
        <v>49.251940955778224</v>
      </c>
      <c r="O96" s="55">
        <f t="shared" ca="1" si="7"/>
        <v>50.026515040555701</v>
      </c>
      <c r="P96" s="55">
        <f t="shared" ca="1" si="7"/>
        <v>50.55876533390218</v>
      </c>
      <c r="Q96" s="55">
        <f t="shared" ca="1" si="7"/>
        <v>50.145708673546821</v>
      </c>
      <c r="R96" s="55">
        <f t="shared" ca="1" si="7"/>
        <v>50.48973047853903</v>
      </c>
      <c r="S96" s="55">
        <f t="shared" ca="1" si="7"/>
        <v>50.190219067618713</v>
      </c>
      <c r="T96" s="55">
        <f t="shared" ca="1" si="7"/>
        <v>49.601131326747854</v>
      </c>
      <c r="U96" s="55">
        <f t="shared" ca="1" si="8"/>
        <v>49.284373175515434</v>
      </c>
      <c r="V96" s="55">
        <f t="shared" ca="1" si="8"/>
        <v>49.681929074478639</v>
      </c>
      <c r="W96" s="55">
        <f t="shared" ca="1" si="8"/>
        <v>49.964085166114579</v>
      </c>
      <c r="X96" s="55">
        <f t="shared" ca="1" si="8"/>
        <v>49.395149953352686</v>
      </c>
      <c r="Y96" s="55">
        <f t="shared" ca="1" si="8"/>
        <v>50.568131733266604</v>
      </c>
      <c r="Z96" s="55">
        <f t="shared" ca="1" si="8"/>
        <v>50.243364197571019</v>
      </c>
      <c r="AA96" s="55">
        <f t="shared" ca="1" si="8"/>
        <v>49.252843806717934</v>
      </c>
      <c r="AB96" s="55">
        <f t="shared" ca="1" si="8"/>
        <v>49.823393050548944</v>
      </c>
      <c r="AC96" s="55">
        <f t="shared" ca="1" si="8"/>
        <v>50.809203919576916</v>
      </c>
      <c r="AD96" s="55">
        <f t="shared" ca="1" si="8"/>
        <v>49.968927596941874</v>
      </c>
      <c r="AF96" s="78" t="e">
        <f t="shared" si="12"/>
        <v>#N/A</v>
      </c>
      <c r="AG96" t="e">
        <f t="shared" ca="1" si="9"/>
        <v>#N/A</v>
      </c>
    </row>
    <row r="97" spans="1:33" ht="14.25" x14ac:dyDescent="0.2">
      <c r="A97" s="56">
        <v>8</v>
      </c>
      <c r="B97" s="50">
        <f t="shared" si="10"/>
        <v>46.666666666666664</v>
      </c>
      <c r="C97" s="51" t="str">
        <f t="shared" ca="1" si="1"/>
        <v>0</v>
      </c>
      <c r="D97" s="52" t="str">
        <f t="shared" si="11"/>
        <v>0</v>
      </c>
      <c r="E97" s="21">
        <f t="shared" si="3"/>
        <v>0</v>
      </c>
      <c r="F97" s="52">
        <f t="shared" ca="1" si="4"/>
        <v>0</v>
      </c>
      <c r="G97" s="53" t="str">
        <f t="shared" si="5"/>
        <v/>
      </c>
      <c r="J97">
        <f t="shared" si="6"/>
        <v>56.666666666666664</v>
      </c>
      <c r="K97" s="55">
        <f t="shared" ca="1" si="7"/>
        <v>58.146161219514838</v>
      </c>
      <c r="L97" s="55">
        <f t="shared" ca="1" si="7"/>
        <v>56.398265442246093</v>
      </c>
      <c r="M97" s="55">
        <f t="shared" ca="1" si="7"/>
        <v>56.970476297621431</v>
      </c>
      <c r="N97" s="55">
        <f t="shared" ca="1" si="7"/>
        <v>56.598550650380879</v>
      </c>
      <c r="O97" s="55">
        <f t="shared" ca="1" si="7"/>
        <v>56.52582569000856</v>
      </c>
      <c r="P97" s="55">
        <f t="shared" ca="1" si="7"/>
        <v>56.178395607167836</v>
      </c>
      <c r="Q97" s="55">
        <f t="shared" ca="1" si="7"/>
        <v>57.172923120463508</v>
      </c>
      <c r="R97" s="55">
        <f t="shared" ca="1" si="7"/>
        <v>56.630478141067975</v>
      </c>
      <c r="S97" s="55">
        <f t="shared" ca="1" si="7"/>
        <v>55.096272427053457</v>
      </c>
      <c r="T97" s="55">
        <f t="shared" ca="1" si="7"/>
        <v>57.257494304060032</v>
      </c>
      <c r="U97" s="55">
        <f t="shared" ca="1" si="8"/>
        <v>55.853266143708574</v>
      </c>
      <c r="V97" s="55">
        <f t="shared" ca="1" si="8"/>
        <v>55.990580905738405</v>
      </c>
      <c r="W97" s="55">
        <f t="shared" ca="1" si="8"/>
        <v>55.194123842790852</v>
      </c>
      <c r="X97" s="55">
        <f t="shared" ca="1" si="8"/>
        <v>56.704154769480724</v>
      </c>
      <c r="Y97" s="55">
        <f t="shared" ca="1" si="8"/>
        <v>56.4888789086705</v>
      </c>
      <c r="Z97" s="55">
        <f t="shared" ca="1" si="8"/>
        <v>56.973426927009406</v>
      </c>
      <c r="AA97" s="55">
        <f t="shared" ca="1" si="8"/>
        <v>55.81439708575477</v>
      </c>
      <c r="AB97" s="55">
        <f t="shared" ca="1" si="8"/>
        <v>56.018448179978833</v>
      </c>
      <c r="AC97" s="55">
        <f t="shared" ca="1" si="8"/>
        <v>57.17986993859337</v>
      </c>
      <c r="AD97" s="55">
        <f t="shared" ca="1" si="8"/>
        <v>57.669216758527597</v>
      </c>
      <c r="AF97" s="78" t="e">
        <f t="shared" si="12"/>
        <v>#N/A</v>
      </c>
      <c r="AG97" t="e">
        <f t="shared" ca="1" si="9"/>
        <v>#N/A</v>
      </c>
    </row>
    <row r="98" spans="1:33" ht="14.25" x14ac:dyDescent="0.2">
      <c r="A98" s="56">
        <v>9</v>
      </c>
      <c r="B98" s="50">
        <f t="shared" si="10"/>
        <v>53.333333333333329</v>
      </c>
      <c r="C98" s="51" t="str">
        <f t="shared" ca="1" si="1"/>
        <v>0</v>
      </c>
      <c r="D98" s="52" t="str">
        <f t="shared" si="11"/>
        <v>0</v>
      </c>
      <c r="E98" s="21">
        <f t="shared" si="3"/>
        <v>0</v>
      </c>
      <c r="F98" s="52">
        <f t="shared" ca="1" si="4"/>
        <v>0</v>
      </c>
      <c r="G98" s="53" t="str">
        <f t="shared" si="5"/>
        <v/>
      </c>
      <c r="J98">
        <f t="shared" si="6"/>
        <v>63.333333333333329</v>
      </c>
      <c r="K98" s="55">
        <f t="shared" ca="1" si="7"/>
        <v>63.747723032567826</v>
      </c>
      <c r="L98" s="55">
        <f t="shared" ca="1" si="7"/>
        <v>63.165991144854083</v>
      </c>
      <c r="M98" s="55">
        <f t="shared" ca="1" si="7"/>
        <v>64.463316819855933</v>
      </c>
      <c r="N98" s="55">
        <f t="shared" ca="1" si="7"/>
        <v>63.499994676418531</v>
      </c>
      <c r="O98" s="55">
        <f t="shared" ca="1" si="7"/>
        <v>62.31544413176637</v>
      </c>
      <c r="P98" s="55">
        <f t="shared" ca="1" si="7"/>
        <v>62.407024615972283</v>
      </c>
      <c r="Q98" s="55">
        <f t="shared" ca="1" si="7"/>
        <v>64.400405399666639</v>
      </c>
      <c r="R98" s="55">
        <f t="shared" ca="1" si="7"/>
        <v>62.279599491137134</v>
      </c>
      <c r="S98" s="55">
        <f t="shared" ca="1" si="7"/>
        <v>61.813986966844006</v>
      </c>
      <c r="T98" s="55">
        <f t="shared" ca="1" si="7"/>
        <v>61.892825981369938</v>
      </c>
      <c r="U98" s="55">
        <f t="shared" ca="1" si="8"/>
        <v>63.095386328363823</v>
      </c>
      <c r="V98" s="55">
        <f t="shared" ca="1" si="8"/>
        <v>62.45957371278525</v>
      </c>
      <c r="W98" s="55">
        <f t="shared" ca="1" si="8"/>
        <v>63.265811217811539</v>
      </c>
      <c r="X98" s="55">
        <f t="shared" ca="1" si="8"/>
        <v>62.759705503130796</v>
      </c>
      <c r="Y98" s="55">
        <f t="shared" ca="1" si="8"/>
        <v>62.377092756611177</v>
      </c>
      <c r="Z98" s="55">
        <f t="shared" ca="1" si="8"/>
        <v>63.794537684670928</v>
      </c>
      <c r="AA98" s="55">
        <f t="shared" ca="1" si="8"/>
        <v>63.869374340363827</v>
      </c>
      <c r="AB98" s="55">
        <f t="shared" ca="1" si="8"/>
        <v>62.058193549383816</v>
      </c>
      <c r="AC98" s="55">
        <f t="shared" ca="1" si="8"/>
        <v>63.348325626974415</v>
      </c>
      <c r="AD98" s="55">
        <f t="shared" ca="1" si="8"/>
        <v>64.324489280792505</v>
      </c>
      <c r="AF98" s="78" t="e">
        <f t="shared" si="12"/>
        <v>#N/A</v>
      </c>
      <c r="AG98" t="e">
        <f t="shared" ca="1" si="9"/>
        <v>#N/A</v>
      </c>
    </row>
    <row r="99" spans="1:33" ht="14.25" x14ac:dyDescent="0.2">
      <c r="A99" s="56">
        <v>10</v>
      </c>
      <c r="B99" s="50">
        <f t="shared" si="10"/>
        <v>59.999999999999993</v>
      </c>
      <c r="C99" s="51" t="str">
        <f t="shared" ca="1" si="1"/>
        <v>0</v>
      </c>
      <c r="D99" s="52" t="str">
        <f t="shared" si="11"/>
        <v>0</v>
      </c>
      <c r="E99" s="21">
        <f t="shared" si="3"/>
        <v>0</v>
      </c>
      <c r="F99" s="52">
        <f t="shared" ca="1" si="4"/>
        <v>0</v>
      </c>
      <c r="G99" s="53" t="str">
        <f t="shared" si="5"/>
        <v/>
      </c>
      <c r="J99">
        <f t="shared" si="6"/>
        <v>70</v>
      </c>
      <c r="K99" s="55">
        <f t="shared" ca="1" si="7"/>
        <v>69.570739238851132</v>
      </c>
      <c r="L99" s="55">
        <f t="shared" ca="1" si="7"/>
        <v>70.711041384853146</v>
      </c>
      <c r="M99" s="55">
        <f t="shared" ca="1" si="7"/>
        <v>69.117429955080027</v>
      </c>
      <c r="N99" s="55">
        <f t="shared" ca="1" si="7"/>
        <v>70.105565503829666</v>
      </c>
      <c r="O99" s="55">
        <f t="shared" ca="1" si="7"/>
        <v>69.758380370183971</v>
      </c>
      <c r="P99" s="55">
        <f t="shared" ca="1" si="7"/>
        <v>68.404093677492995</v>
      </c>
      <c r="Q99" s="55">
        <f t="shared" ca="1" si="7"/>
        <v>70.0585501654719</v>
      </c>
      <c r="R99" s="55">
        <f t="shared" ca="1" si="7"/>
        <v>70.602470958715799</v>
      </c>
      <c r="S99" s="55">
        <f t="shared" ca="1" si="7"/>
        <v>69.857282893937594</v>
      </c>
      <c r="T99" s="55">
        <f t="shared" ca="1" si="7"/>
        <v>69.116487407478076</v>
      </c>
      <c r="U99" s="55">
        <f t="shared" ca="1" si="8"/>
        <v>71.350216011382585</v>
      </c>
      <c r="V99" s="55">
        <f t="shared" ca="1" si="8"/>
        <v>70.196618457381959</v>
      </c>
      <c r="W99" s="55">
        <f t="shared" ca="1" si="8"/>
        <v>70.730788705540945</v>
      </c>
      <c r="X99" s="55">
        <f t="shared" ca="1" si="8"/>
        <v>70.126033460174241</v>
      </c>
      <c r="Y99" s="55">
        <f t="shared" ca="1" si="8"/>
        <v>69.323802736886819</v>
      </c>
      <c r="Z99" s="55">
        <f t="shared" ca="1" si="8"/>
        <v>67.936916751103453</v>
      </c>
      <c r="AA99" s="55">
        <f t="shared" ca="1" si="8"/>
        <v>71.008172331901136</v>
      </c>
      <c r="AB99" s="55">
        <f t="shared" ca="1" si="8"/>
        <v>71.89342967189485</v>
      </c>
      <c r="AC99" s="55">
        <f t="shared" ca="1" si="8"/>
        <v>71.32233112849768</v>
      </c>
      <c r="AD99" s="55">
        <f t="shared" ca="1" si="8"/>
        <v>70.65377848318866</v>
      </c>
      <c r="AF99" s="78" t="e">
        <f t="shared" si="12"/>
        <v>#N/A</v>
      </c>
      <c r="AG99" t="e">
        <f t="shared" ca="1" si="9"/>
        <v>#N/A</v>
      </c>
    </row>
    <row r="100" spans="1:33" ht="14.25" x14ac:dyDescent="0.2">
      <c r="A100" s="56">
        <v>11</v>
      </c>
      <c r="B100" s="50">
        <f t="shared" si="10"/>
        <v>66.666666666666657</v>
      </c>
      <c r="C100" s="51" t="str">
        <f t="shared" ca="1" si="1"/>
        <v>0</v>
      </c>
      <c r="D100" s="52" t="str">
        <f t="shared" si="11"/>
        <v>0</v>
      </c>
      <c r="E100" s="21">
        <f t="shared" si="3"/>
        <v>0</v>
      </c>
      <c r="F100" s="52">
        <f t="shared" ca="1" si="4"/>
        <v>0</v>
      </c>
      <c r="G100" s="53" t="str">
        <f t="shared" si="5"/>
        <v/>
      </c>
      <c r="J100">
        <f t="shared" si="6"/>
        <v>76.666666666666657</v>
      </c>
      <c r="K100" s="55">
        <f t="shared" ref="K100:T107" ca="1" si="13">blank+(m*($B100+Cx)-($B100+Cx)^2*n)*(1+0.01*2.5*Es*(RAND()-RAND()))*(1+0.01*2.5*Ev*(RAND()-RAND()))</f>
        <v>77.759752478489716</v>
      </c>
      <c r="L100" s="55">
        <f t="shared" ca="1" si="13"/>
        <v>77.76720732519739</v>
      </c>
      <c r="M100" s="55">
        <f t="shared" ca="1" si="13"/>
        <v>77.357342672419378</v>
      </c>
      <c r="N100" s="55">
        <f t="shared" ca="1" si="13"/>
        <v>78.619972832379716</v>
      </c>
      <c r="O100" s="55">
        <f t="shared" ca="1" si="13"/>
        <v>76.965893231672254</v>
      </c>
      <c r="P100" s="55">
        <f t="shared" ca="1" si="13"/>
        <v>78.375533907015765</v>
      </c>
      <c r="Q100" s="55">
        <f t="shared" ca="1" si="13"/>
        <v>76.190806643064874</v>
      </c>
      <c r="R100" s="55">
        <f t="shared" ca="1" si="13"/>
        <v>77.419421968010923</v>
      </c>
      <c r="S100" s="55">
        <f t="shared" ca="1" si="13"/>
        <v>76.228190039342564</v>
      </c>
      <c r="T100" s="55">
        <f t="shared" ca="1" si="13"/>
        <v>78.875712387487184</v>
      </c>
      <c r="U100" s="55">
        <f t="shared" ref="U100:AD107" ca="1" si="14">blank+(m*($B100+Cx)-($B100+Cx)^2*n)*(1+0.01*2.5*Es*(RAND()-RAND()))*(1+0.01*2.5*Ev*(RAND()-RAND()))</f>
        <v>77.068754328201265</v>
      </c>
      <c r="V100" s="55">
        <f t="shared" ca="1" si="14"/>
        <v>75.883582682980801</v>
      </c>
      <c r="W100" s="55">
        <f t="shared" ca="1" si="14"/>
        <v>77.55821271560643</v>
      </c>
      <c r="X100" s="55">
        <f t="shared" ca="1" si="14"/>
        <v>77.36541483422198</v>
      </c>
      <c r="Y100" s="55">
        <f t="shared" ca="1" si="14"/>
        <v>76.325727864317017</v>
      </c>
      <c r="Z100" s="55">
        <f t="shared" ca="1" si="14"/>
        <v>78.668411685322297</v>
      </c>
      <c r="AA100" s="55">
        <f t="shared" ca="1" si="14"/>
        <v>76.949055699139237</v>
      </c>
      <c r="AB100" s="55">
        <f t="shared" ca="1" si="14"/>
        <v>74.70545103217178</v>
      </c>
      <c r="AC100" s="55">
        <f t="shared" ca="1" si="14"/>
        <v>78.750334858042791</v>
      </c>
      <c r="AD100" s="55">
        <f t="shared" ca="1" si="14"/>
        <v>78.697080973950179</v>
      </c>
      <c r="AF100" s="78" t="e">
        <f t="shared" si="12"/>
        <v>#N/A</v>
      </c>
      <c r="AG100" t="e">
        <f t="shared" ca="1" si="9"/>
        <v>#N/A</v>
      </c>
    </row>
    <row r="101" spans="1:33" ht="14.25" x14ac:dyDescent="0.2">
      <c r="A101" s="56">
        <v>12</v>
      </c>
      <c r="B101" s="50">
        <f t="shared" si="10"/>
        <v>73.333333333333329</v>
      </c>
      <c r="C101" s="51" t="str">
        <f t="shared" ca="1" si="1"/>
        <v>0</v>
      </c>
      <c r="D101" s="52" t="str">
        <f t="shared" si="11"/>
        <v>0</v>
      </c>
      <c r="E101" s="21">
        <f t="shared" si="3"/>
        <v>0</v>
      </c>
      <c r="F101" s="52">
        <f t="shared" ca="1" si="4"/>
        <v>0</v>
      </c>
      <c r="G101" s="53" t="str">
        <f t="shared" si="5"/>
        <v/>
      </c>
      <c r="J101">
        <f t="shared" si="6"/>
        <v>83.333333333333329</v>
      </c>
      <c r="K101" s="55">
        <f t="shared" ca="1" si="13"/>
        <v>83.668300701779259</v>
      </c>
      <c r="L101" s="55">
        <f t="shared" ca="1" si="13"/>
        <v>83.454439864382692</v>
      </c>
      <c r="M101" s="55">
        <f t="shared" ca="1" si="13"/>
        <v>82.294915459425212</v>
      </c>
      <c r="N101" s="55">
        <f t="shared" ca="1" si="13"/>
        <v>82.171723370294529</v>
      </c>
      <c r="O101" s="55">
        <f t="shared" ca="1" si="13"/>
        <v>81.958396485594619</v>
      </c>
      <c r="P101" s="55">
        <f t="shared" ca="1" si="13"/>
        <v>82.867675219818366</v>
      </c>
      <c r="Q101" s="55">
        <f t="shared" ca="1" si="13"/>
        <v>82.69632807525322</v>
      </c>
      <c r="R101" s="55">
        <f t="shared" ca="1" si="13"/>
        <v>83.534595314158977</v>
      </c>
      <c r="S101" s="55">
        <f t="shared" ca="1" si="13"/>
        <v>82.142754982809493</v>
      </c>
      <c r="T101" s="55">
        <f t="shared" ca="1" si="13"/>
        <v>83.00763817253555</v>
      </c>
      <c r="U101" s="55">
        <f t="shared" ca="1" si="14"/>
        <v>83.93416143235423</v>
      </c>
      <c r="V101" s="55">
        <f t="shared" ca="1" si="14"/>
        <v>82.940796619936123</v>
      </c>
      <c r="W101" s="55">
        <f t="shared" ca="1" si="14"/>
        <v>82.797405422723628</v>
      </c>
      <c r="X101" s="55">
        <f t="shared" ca="1" si="14"/>
        <v>82.166448904890657</v>
      </c>
      <c r="Y101" s="55">
        <f t="shared" ca="1" si="14"/>
        <v>83.075309728805962</v>
      </c>
      <c r="Z101" s="55">
        <f t="shared" ca="1" si="14"/>
        <v>84.257111502805742</v>
      </c>
      <c r="AA101" s="55">
        <f t="shared" ca="1" si="14"/>
        <v>84.407138984353367</v>
      </c>
      <c r="AB101" s="55">
        <f t="shared" ca="1" si="14"/>
        <v>84.202536294835099</v>
      </c>
      <c r="AC101" s="55">
        <f t="shared" ca="1" si="14"/>
        <v>81.4337824526296</v>
      </c>
      <c r="AD101" s="55">
        <f t="shared" ca="1" si="14"/>
        <v>82.245630096578651</v>
      </c>
      <c r="AF101" s="78" t="e">
        <f t="shared" si="12"/>
        <v>#N/A</v>
      </c>
      <c r="AG101" t="e">
        <f t="shared" ca="1" si="9"/>
        <v>#N/A</v>
      </c>
    </row>
    <row r="102" spans="1:33" ht="14.25" x14ac:dyDescent="0.2">
      <c r="A102" s="56">
        <v>13</v>
      </c>
      <c r="B102" s="50">
        <f t="shared" si="10"/>
        <v>80</v>
      </c>
      <c r="C102" s="51" t="str">
        <f t="shared" ca="1" si="1"/>
        <v>0</v>
      </c>
      <c r="D102" s="52" t="str">
        <f t="shared" si="11"/>
        <v>0</v>
      </c>
      <c r="E102" s="21">
        <f t="shared" si="3"/>
        <v>0</v>
      </c>
      <c r="F102" s="52">
        <f t="shared" ca="1" si="4"/>
        <v>0</v>
      </c>
      <c r="G102" s="53" t="str">
        <f t="shared" si="5"/>
        <v/>
      </c>
      <c r="J102">
        <f t="shared" si="6"/>
        <v>90</v>
      </c>
      <c r="K102" s="55">
        <f t="shared" ca="1" si="13"/>
        <v>90.101071500193413</v>
      </c>
      <c r="L102" s="55">
        <f t="shared" ca="1" si="13"/>
        <v>90.793801970466404</v>
      </c>
      <c r="M102" s="55">
        <f t="shared" ca="1" si="13"/>
        <v>91.427721356236333</v>
      </c>
      <c r="N102" s="55">
        <f t="shared" ca="1" si="13"/>
        <v>89.539970264332851</v>
      </c>
      <c r="O102" s="55">
        <f t="shared" ca="1" si="13"/>
        <v>88.962158568390791</v>
      </c>
      <c r="P102" s="55">
        <f t="shared" ca="1" si="13"/>
        <v>90.930570981172565</v>
      </c>
      <c r="Q102" s="55">
        <f t="shared" ca="1" si="13"/>
        <v>89.422977639428908</v>
      </c>
      <c r="R102" s="55">
        <f t="shared" ca="1" si="13"/>
        <v>88.400987886674073</v>
      </c>
      <c r="S102" s="55">
        <f t="shared" ca="1" si="13"/>
        <v>89.803478915623629</v>
      </c>
      <c r="T102" s="55">
        <f t="shared" ca="1" si="13"/>
        <v>91.868369558980248</v>
      </c>
      <c r="U102" s="55">
        <f t="shared" ca="1" si="14"/>
        <v>88.843813814085962</v>
      </c>
      <c r="V102" s="55">
        <f t="shared" ca="1" si="14"/>
        <v>89.780971026181376</v>
      </c>
      <c r="W102" s="55">
        <f t="shared" ca="1" si="14"/>
        <v>92.268516532163162</v>
      </c>
      <c r="X102" s="55">
        <f t="shared" ca="1" si="14"/>
        <v>90.579415287696875</v>
      </c>
      <c r="Y102" s="55">
        <f t="shared" ca="1" si="14"/>
        <v>89.209448703303536</v>
      </c>
      <c r="Z102" s="55">
        <f t="shared" ca="1" si="14"/>
        <v>91.556576718213677</v>
      </c>
      <c r="AA102" s="55">
        <f t="shared" ca="1" si="14"/>
        <v>89.434341366376202</v>
      </c>
      <c r="AB102" s="55">
        <f t="shared" ca="1" si="14"/>
        <v>89.069503698718933</v>
      </c>
      <c r="AC102" s="55">
        <f t="shared" ca="1" si="14"/>
        <v>89.591672256147277</v>
      </c>
      <c r="AD102" s="55">
        <f t="shared" ca="1" si="14"/>
        <v>89.906009127427893</v>
      </c>
      <c r="AF102" s="78" t="e">
        <f t="shared" si="12"/>
        <v>#N/A</v>
      </c>
      <c r="AG102" t="e">
        <f t="shared" ca="1" si="9"/>
        <v>#N/A</v>
      </c>
    </row>
    <row r="103" spans="1:33" ht="14.25" x14ac:dyDescent="0.2">
      <c r="A103" s="56">
        <v>14</v>
      </c>
      <c r="B103" s="50">
        <f t="shared" si="10"/>
        <v>86.666666666666671</v>
      </c>
      <c r="C103" s="51" t="str">
        <f t="shared" ca="1" si="1"/>
        <v>0</v>
      </c>
      <c r="D103" s="52" t="str">
        <f t="shared" si="11"/>
        <v>0</v>
      </c>
      <c r="E103" s="21">
        <f t="shared" si="3"/>
        <v>0</v>
      </c>
      <c r="F103" s="52">
        <f t="shared" ca="1" si="4"/>
        <v>0</v>
      </c>
      <c r="G103" s="53" t="str">
        <f t="shared" si="5"/>
        <v/>
      </c>
      <c r="J103">
        <f t="shared" si="6"/>
        <v>96.666666666666671</v>
      </c>
      <c r="K103" s="55">
        <f t="shared" ca="1" si="13"/>
        <v>99.606692580144525</v>
      </c>
      <c r="L103" s="55">
        <f t="shared" ca="1" si="13"/>
        <v>95.299328607666823</v>
      </c>
      <c r="M103" s="55">
        <f t="shared" ca="1" si="13"/>
        <v>96.418978139406065</v>
      </c>
      <c r="N103" s="55">
        <f t="shared" ca="1" si="13"/>
        <v>98.540107532961784</v>
      </c>
      <c r="O103" s="55">
        <f t="shared" ca="1" si="13"/>
        <v>95.770275495056211</v>
      </c>
      <c r="P103" s="55">
        <f t="shared" ca="1" si="13"/>
        <v>96.432070902079005</v>
      </c>
      <c r="Q103" s="55">
        <f t="shared" ca="1" si="13"/>
        <v>97.341145492399988</v>
      </c>
      <c r="R103" s="55">
        <f t="shared" ca="1" si="13"/>
        <v>96.841772550993795</v>
      </c>
      <c r="S103" s="55">
        <f t="shared" ca="1" si="13"/>
        <v>98.786490176500379</v>
      </c>
      <c r="T103" s="55">
        <f t="shared" ca="1" si="13"/>
        <v>96.084706006280385</v>
      </c>
      <c r="U103" s="55">
        <f t="shared" ca="1" si="14"/>
        <v>98.720270211513125</v>
      </c>
      <c r="V103" s="55">
        <f t="shared" ca="1" si="14"/>
        <v>94.842103574852572</v>
      </c>
      <c r="W103" s="55">
        <f t="shared" ca="1" si="14"/>
        <v>97.712642740592869</v>
      </c>
      <c r="X103" s="55">
        <f t="shared" ca="1" si="14"/>
        <v>99.14207305923523</v>
      </c>
      <c r="Y103" s="55">
        <f t="shared" ca="1" si="14"/>
        <v>96.543754478916455</v>
      </c>
      <c r="Z103" s="55">
        <f t="shared" ca="1" si="14"/>
        <v>96.845614971609862</v>
      </c>
      <c r="AA103" s="55">
        <f t="shared" ca="1" si="14"/>
        <v>96.579917131034108</v>
      </c>
      <c r="AB103" s="55">
        <f t="shared" ca="1" si="14"/>
        <v>95.563989385934931</v>
      </c>
      <c r="AC103" s="55">
        <f t="shared" ca="1" si="14"/>
        <v>96.482446999547591</v>
      </c>
      <c r="AD103" s="55">
        <f t="shared" ca="1" si="14"/>
        <v>95.874094737530783</v>
      </c>
      <c r="AF103" s="78" t="e">
        <f t="shared" si="12"/>
        <v>#N/A</v>
      </c>
      <c r="AG103" t="e">
        <f t="shared" ca="1" si="9"/>
        <v>#N/A</v>
      </c>
    </row>
    <row r="104" spans="1:33" ht="14.25" x14ac:dyDescent="0.2">
      <c r="A104" s="56">
        <v>15</v>
      </c>
      <c r="B104" s="50">
        <f t="shared" si="10"/>
        <v>93.333333333333343</v>
      </c>
      <c r="C104" s="51" t="str">
        <f t="shared" ca="1" si="1"/>
        <v>0</v>
      </c>
      <c r="D104" s="52" t="str">
        <f t="shared" si="11"/>
        <v>0</v>
      </c>
      <c r="E104" s="21">
        <f t="shared" si="3"/>
        <v>0</v>
      </c>
      <c r="F104" s="52">
        <f t="shared" ca="1" si="4"/>
        <v>0</v>
      </c>
      <c r="G104" s="53" t="str">
        <f t="shared" si="5"/>
        <v/>
      </c>
      <c r="J104">
        <f t="shared" si="6"/>
        <v>103.33333333333334</v>
      </c>
      <c r="K104" s="55">
        <f t="shared" ca="1" si="13"/>
        <v>105.02340804709085</v>
      </c>
      <c r="L104" s="55">
        <f t="shared" ca="1" si="13"/>
        <v>103.6941141310414</v>
      </c>
      <c r="M104" s="55">
        <f t="shared" ca="1" si="13"/>
        <v>101.58322327390917</v>
      </c>
      <c r="N104" s="55">
        <f t="shared" ca="1" si="13"/>
        <v>104.47742308552597</v>
      </c>
      <c r="O104" s="55">
        <f t="shared" ca="1" si="13"/>
        <v>104.55272366188254</v>
      </c>
      <c r="P104" s="55">
        <f t="shared" ca="1" si="13"/>
        <v>104.56124880958326</v>
      </c>
      <c r="Q104" s="55">
        <f t="shared" ca="1" si="13"/>
        <v>105.0204906841734</v>
      </c>
      <c r="R104" s="55">
        <f t="shared" ca="1" si="13"/>
        <v>105.36922377422857</v>
      </c>
      <c r="S104" s="55">
        <f t="shared" ca="1" si="13"/>
        <v>100.86389132800235</v>
      </c>
      <c r="T104" s="55">
        <f t="shared" ca="1" si="13"/>
        <v>101.18366266761366</v>
      </c>
      <c r="U104" s="55">
        <f t="shared" ca="1" si="14"/>
        <v>101.61510056706888</v>
      </c>
      <c r="V104" s="55">
        <f t="shared" ca="1" si="14"/>
        <v>103.63474755368686</v>
      </c>
      <c r="W104" s="55">
        <f t="shared" ca="1" si="14"/>
        <v>103.10220954225181</v>
      </c>
      <c r="X104" s="55">
        <f t="shared" ca="1" si="14"/>
        <v>101.60431939750781</v>
      </c>
      <c r="Y104" s="55">
        <f t="shared" ca="1" si="14"/>
        <v>103.5933222866481</v>
      </c>
      <c r="Z104" s="55">
        <f t="shared" ca="1" si="14"/>
        <v>103.68290874402801</v>
      </c>
      <c r="AA104" s="55">
        <f t="shared" ca="1" si="14"/>
        <v>103.0242284199375</v>
      </c>
      <c r="AB104" s="55">
        <f t="shared" ca="1" si="14"/>
        <v>102.33841522138891</v>
      </c>
      <c r="AC104" s="55">
        <f t="shared" ca="1" si="14"/>
        <v>104.90082002691339</v>
      </c>
      <c r="AD104" s="55">
        <f t="shared" ca="1" si="14"/>
        <v>101.23772015366754</v>
      </c>
      <c r="AF104" s="78" t="e">
        <f t="shared" si="12"/>
        <v>#N/A</v>
      </c>
      <c r="AG104" t="e">
        <f t="shared" ca="1" si="9"/>
        <v>#N/A</v>
      </c>
    </row>
    <row r="105" spans="1:33" ht="14.25" x14ac:dyDescent="0.2">
      <c r="A105" s="56">
        <v>16</v>
      </c>
      <c r="B105" s="50">
        <f t="shared" si="10"/>
        <v>100.00000000000001</v>
      </c>
      <c r="C105" s="51" t="str">
        <f t="shared" ca="1" si="1"/>
        <v>0</v>
      </c>
      <c r="D105" s="52" t="str">
        <f t="shared" si="11"/>
        <v>0</v>
      </c>
      <c r="E105" s="21">
        <f t="shared" si="3"/>
        <v>0</v>
      </c>
      <c r="F105" s="52">
        <f t="shared" ca="1" si="4"/>
        <v>0</v>
      </c>
      <c r="G105" s="53" t="str">
        <f t="shared" si="5"/>
        <v/>
      </c>
      <c r="J105">
        <f t="shared" si="6"/>
        <v>110.00000000000001</v>
      </c>
      <c r="K105" s="55">
        <f t="shared" ca="1" si="13"/>
        <v>110.03824904377188</v>
      </c>
      <c r="L105" s="55">
        <f t="shared" ca="1" si="13"/>
        <v>110.7703814923631</v>
      </c>
      <c r="M105" s="55">
        <f t="shared" ca="1" si="13"/>
        <v>111.22949229843097</v>
      </c>
      <c r="N105" s="55">
        <f t="shared" ca="1" si="13"/>
        <v>108.45990863197174</v>
      </c>
      <c r="O105" s="55">
        <f t="shared" ca="1" si="13"/>
        <v>107.4049846072343</v>
      </c>
      <c r="P105" s="55">
        <f t="shared" ca="1" si="13"/>
        <v>107.81198730729497</v>
      </c>
      <c r="Q105" s="55">
        <f t="shared" ca="1" si="13"/>
        <v>108.8847766173639</v>
      </c>
      <c r="R105" s="55">
        <f t="shared" ca="1" si="13"/>
        <v>108.70209620417934</v>
      </c>
      <c r="S105" s="55">
        <f t="shared" ca="1" si="13"/>
        <v>109.0251921263792</v>
      </c>
      <c r="T105" s="55">
        <f t="shared" ca="1" si="13"/>
        <v>109.32527882028313</v>
      </c>
      <c r="U105" s="55">
        <f t="shared" ca="1" si="14"/>
        <v>110.82716947206902</v>
      </c>
      <c r="V105" s="55">
        <f t="shared" ca="1" si="14"/>
        <v>108.94248340386071</v>
      </c>
      <c r="W105" s="55">
        <f t="shared" ca="1" si="14"/>
        <v>108.06333727538392</v>
      </c>
      <c r="X105" s="55">
        <f t="shared" ca="1" si="14"/>
        <v>112.6951333665987</v>
      </c>
      <c r="Y105" s="55">
        <f t="shared" ca="1" si="14"/>
        <v>110.67902341683074</v>
      </c>
      <c r="Z105" s="55">
        <f t="shared" ca="1" si="14"/>
        <v>108.58025767063197</v>
      </c>
      <c r="AA105" s="55">
        <f t="shared" ca="1" si="14"/>
        <v>106.68128290094498</v>
      </c>
      <c r="AB105" s="55">
        <f t="shared" ca="1" si="14"/>
        <v>110.2629965623825</v>
      </c>
      <c r="AC105" s="55">
        <f t="shared" ca="1" si="14"/>
        <v>107.53226987395496</v>
      </c>
      <c r="AD105" s="55">
        <f t="shared" ca="1" si="14"/>
        <v>107.96475308461123</v>
      </c>
      <c r="AF105" s="78" t="e">
        <f t="shared" si="12"/>
        <v>#N/A</v>
      </c>
      <c r="AG105" t="e">
        <f t="shared" ca="1" si="9"/>
        <v>#N/A</v>
      </c>
    </row>
    <row r="106" spans="1:33" ht="14.25" x14ac:dyDescent="0.2">
      <c r="A106" s="56">
        <v>17</v>
      </c>
      <c r="B106" s="50">
        <f t="shared" si="10"/>
        <v>106.66666666666669</v>
      </c>
      <c r="C106" s="51" t="str">
        <f t="shared" ca="1" si="1"/>
        <v>0</v>
      </c>
      <c r="D106" s="52" t="str">
        <f t="shared" si="11"/>
        <v>0</v>
      </c>
      <c r="E106" s="21">
        <f t="shared" si="3"/>
        <v>0</v>
      </c>
      <c r="F106" s="52">
        <f t="shared" ca="1" si="4"/>
        <v>0</v>
      </c>
      <c r="G106" s="53" t="str">
        <f t="shared" si="5"/>
        <v/>
      </c>
      <c r="J106">
        <f t="shared" si="6"/>
        <v>116.66666666666669</v>
      </c>
      <c r="K106" s="55">
        <f t="shared" ca="1" si="13"/>
        <v>112.83322530258302</v>
      </c>
      <c r="L106" s="55">
        <f t="shared" ca="1" si="13"/>
        <v>114.69381976244939</v>
      </c>
      <c r="M106" s="55">
        <f t="shared" ca="1" si="13"/>
        <v>117.59335798019488</v>
      </c>
      <c r="N106" s="55">
        <f t="shared" ca="1" si="13"/>
        <v>118.6006511528434</v>
      </c>
      <c r="O106" s="55">
        <f t="shared" ca="1" si="13"/>
        <v>117.67725269693675</v>
      </c>
      <c r="P106" s="55">
        <f t="shared" ca="1" si="13"/>
        <v>116.93826606484986</v>
      </c>
      <c r="Q106" s="55">
        <f t="shared" ca="1" si="13"/>
        <v>114.42795493147251</v>
      </c>
      <c r="R106" s="55">
        <f t="shared" ca="1" si="13"/>
        <v>116.48232087254608</v>
      </c>
      <c r="S106" s="55">
        <f t="shared" ca="1" si="13"/>
        <v>116.88040672470925</v>
      </c>
      <c r="T106" s="55">
        <f t="shared" ca="1" si="13"/>
        <v>116.46194310222263</v>
      </c>
      <c r="U106" s="55">
        <f t="shared" ca="1" si="14"/>
        <v>114.21913821528597</v>
      </c>
      <c r="V106" s="55">
        <f t="shared" ca="1" si="14"/>
        <v>115.48405236637009</v>
      </c>
      <c r="W106" s="55">
        <f t="shared" ca="1" si="14"/>
        <v>117.29180324622133</v>
      </c>
      <c r="X106" s="55">
        <f t="shared" ca="1" si="14"/>
        <v>119.61790404184896</v>
      </c>
      <c r="Y106" s="55">
        <f t="shared" ca="1" si="14"/>
        <v>115.96140406036078</v>
      </c>
      <c r="Z106" s="55">
        <f t="shared" ca="1" si="14"/>
        <v>117.64610717955716</v>
      </c>
      <c r="AA106" s="55">
        <f t="shared" ca="1" si="14"/>
        <v>118.75630764038723</v>
      </c>
      <c r="AB106" s="55">
        <f t="shared" ca="1" si="14"/>
        <v>116.60889168588645</v>
      </c>
      <c r="AC106" s="55">
        <f t="shared" ca="1" si="14"/>
        <v>117.39222392965567</v>
      </c>
      <c r="AD106" s="55">
        <f t="shared" ca="1" si="14"/>
        <v>115.62685683175826</v>
      </c>
      <c r="AF106" s="78" t="e">
        <f t="shared" si="12"/>
        <v>#N/A</v>
      </c>
      <c r="AG106" t="e">
        <f t="shared" ca="1" si="9"/>
        <v>#N/A</v>
      </c>
    </row>
    <row r="107" spans="1:33" ht="14.25" x14ac:dyDescent="0.2">
      <c r="A107" s="59">
        <v>18</v>
      </c>
      <c r="B107" s="50">
        <f t="shared" si="10"/>
        <v>113.33333333333336</v>
      </c>
      <c r="C107" s="51" t="str">
        <f t="shared" ca="1" si="1"/>
        <v>0</v>
      </c>
      <c r="D107" s="52" t="str">
        <f t="shared" si="11"/>
        <v>0</v>
      </c>
      <c r="E107" s="44">
        <f t="shared" si="3"/>
        <v>0</v>
      </c>
      <c r="F107" s="60">
        <f t="shared" ca="1" si="4"/>
        <v>0</v>
      </c>
      <c r="G107" s="53" t="str">
        <f t="shared" si="5"/>
        <v/>
      </c>
      <c r="J107">
        <f t="shared" si="6"/>
        <v>123.33333333333336</v>
      </c>
      <c r="K107" s="55">
        <f t="shared" ca="1" si="13"/>
        <v>127.32061804957448</v>
      </c>
      <c r="L107" s="55">
        <f t="shared" ca="1" si="13"/>
        <v>123.12234913514595</v>
      </c>
      <c r="M107" s="55">
        <f t="shared" ca="1" si="13"/>
        <v>124.6317304582597</v>
      </c>
      <c r="N107" s="55">
        <f t="shared" ca="1" si="13"/>
        <v>122.6810386594496</v>
      </c>
      <c r="O107" s="55">
        <f t="shared" ca="1" si="13"/>
        <v>120.40737482910164</v>
      </c>
      <c r="P107" s="55">
        <f t="shared" ca="1" si="13"/>
        <v>125.49343473850641</v>
      </c>
      <c r="Q107" s="55">
        <f t="shared" ca="1" si="13"/>
        <v>122.90923643842687</v>
      </c>
      <c r="R107" s="55">
        <f t="shared" ca="1" si="13"/>
        <v>125.06733174013529</v>
      </c>
      <c r="S107" s="55">
        <f t="shared" ca="1" si="13"/>
        <v>122.85534328428648</v>
      </c>
      <c r="T107" s="55">
        <f t="shared" ca="1" si="13"/>
        <v>120.58859148116133</v>
      </c>
      <c r="U107" s="55">
        <f t="shared" ca="1" si="14"/>
        <v>123.69312376054511</v>
      </c>
      <c r="V107" s="55">
        <f t="shared" ca="1" si="14"/>
        <v>123.83490632540533</v>
      </c>
      <c r="W107" s="55">
        <f t="shared" ca="1" si="14"/>
        <v>121.40071898942283</v>
      </c>
      <c r="X107" s="55">
        <f t="shared" ca="1" si="14"/>
        <v>123.27674819570764</v>
      </c>
      <c r="Y107" s="55">
        <f t="shared" ca="1" si="14"/>
        <v>124.26985870396635</v>
      </c>
      <c r="Z107" s="55">
        <f t="shared" ca="1" si="14"/>
        <v>121.42386005261046</v>
      </c>
      <c r="AA107" s="55">
        <f t="shared" ca="1" si="14"/>
        <v>124.91606286384226</v>
      </c>
      <c r="AB107" s="55">
        <f t="shared" ca="1" si="14"/>
        <v>122.65656353155933</v>
      </c>
      <c r="AC107" s="55">
        <f t="shared" ca="1" si="14"/>
        <v>120.9422149084119</v>
      </c>
      <c r="AD107" s="55">
        <f t="shared" ca="1" si="14"/>
        <v>127.43674683015756</v>
      </c>
      <c r="AF107" s="78" t="e">
        <f t="shared" si="12"/>
        <v>#N/A</v>
      </c>
      <c r="AG107" t="e">
        <f t="shared" ca="1" si="9"/>
        <v>#N/A</v>
      </c>
    </row>
    <row r="108" spans="1:33" ht="14.25" x14ac:dyDescent="0.2">
      <c r="B108" s="61" t="s">
        <v>89</v>
      </c>
      <c r="C108" s="51">
        <f ca="1">SUM(C90:C107)</f>
        <v>79.499598387287179</v>
      </c>
      <c r="D108" s="61">
        <f>SUM(D90:D107)</f>
        <v>40</v>
      </c>
      <c r="E108">
        <f>SUM(E90:E107)</f>
        <v>622.22222222222229</v>
      </c>
      <c r="F108" s="62">
        <f ca="1">SUM(F90:F107)</f>
        <v>1014.5087917956995</v>
      </c>
      <c r="G108">
        <f ca="1">SUM(G90:G107)</f>
        <v>2.5050446605395741E-2</v>
      </c>
      <c r="H108">
        <f>E108</f>
        <v>622.22222222222229</v>
      </c>
      <c r="I108">
        <f ca="1">G108</f>
        <v>2.5050446605395741E-2</v>
      </c>
    </row>
    <row r="109" spans="1:33" x14ac:dyDescent="0.2">
      <c r="B109" s="45" t="s">
        <v>22</v>
      </c>
      <c r="C109" s="17"/>
      <c r="D109" s="61" t="s">
        <v>60</v>
      </c>
      <c r="E109">
        <f>(ns*sumx2)-sumx^2</f>
        <v>888.88888888888914</v>
      </c>
      <c r="H109">
        <f>E109</f>
        <v>888.88888888888914</v>
      </c>
      <c r="J109" t="s">
        <v>61</v>
      </c>
      <c r="K109" s="63">
        <f t="shared" ref="K109:AD109" ca="1" si="15">SLOPE(K90:K107,$D90:$D107)</f>
        <v>0.96618964062131285</v>
      </c>
      <c r="L109" s="63">
        <f t="shared" ca="1" si="15"/>
        <v>1.0232583333885559</v>
      </c>
      <c r="M109" s="63">
        <f t="shared" ca="1" si="15"/>
        <v>0.97153641460605034</v>
      </c>
      <c r="N109" s="63">
        <f t="shared" ca="1" si="15"/>
        <v>0.95055628602437536</v>
      </c>
      <c r="O109" s="63">
        <f t="shared" ca="1" si="15"/>
        <v>0.95983614347716562</v>
      </c>
      <c r="P109" s="63">
        <f t="shared" ca="1" si="15"/>
        <v>1.0117831680049434</v>
      </c>
      <c r="Q109" s="63">
        <f t="shared" ca="1" si="15"/>
        <v>0.98583279558531745</v>
      </c>
      <c r="R109" s="63">
        <f t="shared" ca="1" si="15"/>
        <v>1.0091256917247378</v>
      </c>
      <c r="S109" s="63">
        <f t="shared" ca="1" si="15"/>
        <v>1.0073451597003831</v>
      </c>
      <c r="T109" s="63">
        <f t="shared" ca="1" si="15"/>
        <v>1.0007795321985082</v>
      </c>
      <c r="U109" s="63">
        <f t="shared" ca="1" si="15"/>
        <v>0.98706472844070958</v>
      </c>
      <c r="V109" s="63">
        <f t="shared" ca="1" si="15"/>
        <v>1.0015619179576902</v>
      </c>
      <c r="W109" s="63">
        <f t="shared" ca="1" si="15"/>
        <v>0.97261192307476985</v>
      </c>
      <c r="X109" s="63">
        <f t="shared" ca="1" si="15"/>
        <v>0.99487857061986917</v>
      </c>
      <c r="Y109" s="63">
        <f t="shared" ca="1" si="15"/>
        <v>0.98268133750934195</v>
      </c>
      <c r="Z109" s="63">
        <f t="shared" ca="1" si="15"/>
        <v>0.99114893811008387</v>
      </c>
      <c r="AA109" s="63">
        <f t="shared" ca="1" si="15"/>
        <v>1.0255875146776938</v>
      </c>
      <c r="AB109" s="63">
        <f t="shared" ca="1" si="15"/>
        <v>1.0304071588836403</v>
      </c>
      <c r="AC109" s="63">
        <f t="shared" ca="1" si="15"/>
        <v>0.99791777623289457</v>
      </c>
      <c r="AD109" s="63">
        <f t="shared" ca="1" si="15"/>
        <v>0.98606665507561109</v>
      </c>
    </row>
    <row r="110" spans="1:33" x14ac:dyDescent="0.2">
      <c r="B110" s="50" t="s">
        <v>22</v>
      </c>
      <c r="C110" s="50" t="s">
        <v>22</v>
      </c>
      <c r="D110" s="64" t="s">
        <v>62</v>
      </c>
      <c r="E110" s="65"/>
      <c r="F110" s="46"/>
      <c r="J110" t="s">
        <v>63</v>
      </c>
      <c r="K110" s="63">
        <f t="shared" ref="K110:AD110" ca="1" si="16">INTERCEPT(K90:K107,$D90:$D107)</f>
        <v>10.16584998152592</v>
      </c>
      <c r="L110" s="63">
        <f t="shared" ca="1" si="16"/>
        <v>9.8701822084119666</v>
      </c>
      <c r="M110" s="63">
        <f t="shared" ca="1" si="16"/>
        <v>10.129910815308095</v>
      </c>
      <c r="N110" s="63">
        <f t="shared" ca="1" si="16"/>
        <v>10.145554945915883</v>
      </c>
      <c r="O110" s="63">
        <f t="shared" ca="1" si="16"/>
        <v>10.371005750682267</v>
      </c>
      <c r="P110" s="63">
        <f t="shared" ca="1" si="16"/>
        <v>9.7219517495423204</v>
      </c>
      <c r="Q110" s="63">
        <f t="shared" ca="1" si="16"/>
        <v>10.069944087593246</v>
      </c>
      <c r="R110" s="63">
        <f t="shared" ca="1" si="16"/>
        <v>10.037512264977959</v>
      </c>
      <c r="S110" s="63">
        <f t="shared" ca="1" si="16"/>
        <v>9.8189645664871108</v>
      </c>
      <c r="T110" s="63">
        <f t="shared" ca="1" si="16"/>
        <v>9.9814117671183062</v>
      </c>
      <c r="U110" s="63">
        <f t="shared" ca="1" si="16"/>
        <v>10.007616204922048</v>
      </c>
      <c r="V110" s="63">
        <f t="shared" ca="1" si="16"/>
        <v>10.200680633392544</v>
      </c>
      <c r="W110" s="63">
        <f t="shared" ca="1" si="16"/>
        <v>10.285267533872833</v>
      </c>
      <c r="X110" s="63">
        <f t="shared" ca="1" si="16"/>
        <v>10.033490105281899</v>
      </c>
      <c r="Y110" s="63">
        <f t="shared" ca="1" si="16"/>
        <v>10.232160103446798</v>
      </c>
      <c r="Z110" s="63">
        <f t="shared" ca="1" si="16"/>
        <v>9.9506976141134977</v>
      </c>
      <c r="AA110" s="63">
        <f t="shared" ca="1" si="16"/>
        <v>9.7554180450838626</v>
      </c>
      <c r="AB110" s="63">
        <f t="shared" ca="1" si="16"/>
        <v>9.9626743419086736</v>
      </c>
      <c r="AC110" s="63">
        <f t="shared" ca="1" si="16"/>
        <v>10.107351522930685</v>
      </c>
      <c r="AD110" s="63">
        <f t="shared" ca="1" si="16"/>
        <v>10.215796799058211</v>
      </c>
    </row>
    <row r="111" spans="1:33" x14ac:dyDescent="0.2">
      <c r="D111" s="21" t="s">
        <v>64</v>
      </c>
      <c r="F111" s="74">
        <f ca="1">((ns*sumxy)-(sumx*sumy))/delta</f>
        <v>0.98780763565272456</v>
      </c>
      <c r="H111" t="s">
        <v>22</v>
      </c>
      <c r="J111" t="s">
        <v>65</v>
      </c>
      <c r="K111">
        <f t="shared" ref="K111:AD111" ca="1" si="17">K110/K109</f>
        <v>10.521588675892573</v>
      </c>
      <c r="L111">
        <f t="shared" ca="1" si="17"/>
        <v>9.6458361357551929</v>
      </c>
      <c r="M111">
        <f t="shared" ca="1" si="17"/>
        <v>10.42669184913227</v>
      </c>
      <c r="N111">
        <f t="shared" ca="1" si="17"/>
        <v>10.673281630011459</v>
      </c>
      <c r="O111">
        <f t="shared" ca="1" si="17"/>
        <v>10.804975225366674</v>
      </c>
      <c r="P111">
        <f t="shared" ca="1" si="17"/>
        <v>9.6087304641688025</v>
      </c>
      <c r="Q111">
        <f t="shared" ca="1" si="17"/>
        <v>10.21465722451892</v>
      </c>
      <c r="R111">
        <f t="shared" ca="1" si="17"/>
        <v>9.9467413695735356</v>
      </c>
      <c r="S111">
        <f t="shared" ca="1" si="17"/>
        <v>9.7473685875530371</v>
      </c>
      <c r="T111">
        <f t="shared" ca="1" si="17"/>
        <v>9.9736369959437354</v>
      </c>
      <c r="U111">
        <f t="shared" ca="1" si="17"/>
        <v>10.138763868841028</v>
      </c>
      <c r="V111">
        <f t="shared" ca="1" si="17"/>
        <v>10.184772853777233</v>
      </c>
      <c r="W111">
        <f t="shared" ca="1" si="17"/>
        <v>10.574893531386568</v>
      </c>
      <c r="X111">
        <f t="shared" ca="1" si="17"/>
        <v>10.085140439833207</v>
      </c>
      <c r="Y111">
        <f t="shared" ca="1" si="17"/>
        <v>10.412490512316792</v>
      </c>
      <c r="Z111">
        <f t="shared" ca="1" si="17"/>
        <v>10.039558366563375</v>
      </c>
      <c r="AA111">
        <f t="shared" ca="1" si="17"/>
        <v>9.512028866838973</v>
      </c>
      <c r="AB111">
        <f t="shared" ca="1" si="17"/>
        <v>9.6686773340185201</v>
      </c>
      <c r="AC111">
        <f t="shared" ca="1" si="17"/>
        <v>10.128441203929237</v>
      </c>
      <c r="AD111">
        <f t="shared" ca="1" si="17"/>
        <v>10.360148319055439</v>
      </c>
    </row>
    <row r="112" spans="1:33" x14ac:dyDescent="0.2">
      <c r="B112" s="64" t="s">
        <v>66</v>
      </c>
      <c r="C112" s="46"/>
      <c r="D112" s="21" t="s">
        <v>67</v>
      </c>
      <c r="F112" s="74">
        <f ca="1">(sumx2*sumy-sumx*sumxy)/delta</f>
        <v>9.9968232402945514</v>
      </c>
      <c r="H112" t="s">
        <v>22</v>
      </c>
    </row>
    <row r="113" spans="2:17" x14ac:dyDescent="0.2">
      <c r="B113" s="44">
        <f>-Cx</f>
        <v>-10</v>
      </c>
      <c r="C113" s="60">
        <v>0</v>
      </c>
      <c r="D113" s="21" t="s">
        <v>68</v>
      </c>
      <c r="F113" s="74">
        <f ca="1">SQRT(G108/(ns-2))</f>
        <v>0.1119161440664298</v>
      </c>
    </row>
    <row r="114" spans="2:17" x14ac:dyDescent="0.2">
      <c r="D114" s="21" t="s">
        <v>69</v>
      </c>
      <c r="F114" s="74">
        <f ca="1">F113*SQRT(sumx2/delta)</f>
        <v>9.3635764064210564E-2</v>
      </c>
    </row>
    <row r="115" spans="2:17" x14ac:dyDescent="0.2">
      <c r="D115" s="21" t="s">
        <v>70</v>
      </c>
      <c r="F115" s="75">
        <f ca="1">F113*SQRT(ns/delta)</f>
        <v>7.5075631773659024E-3</v>
      </c>
    </row>
    <row r="116" spans="2:17" x14ac:dyDescent="0.2">
      <c r="D116" s="21" t="s">
        <v>71</v>
      </c>
      <c r="F116" s="76">
        <f ca="1">F114/F112</f>
        <v>9.366551934897634E-3</v>
      </c>
    </row>
    <row r="117" spans="2:17" x14ac:dyDescent="0.2">
      <c r="D117" s="21" t="s">
        <v>72</v>
      </c>
      <c r="F117" s="76">
        <f ca="1">F116/F111</f>
        <v>9.4821619076758748E-3</v>
      </c>
    </row>
    <row r="118" spans="2:17" x14ac:dyDescent="0.2">
      <c r="B118" s="64" t="s">
        <v>73</v>
      </c>
      <c r="C118" s="46"/>
      <c r="D118" s="44" t="s">
        <v>74</v>
      </c>
      <c r="E118" s="33"/>
      <c r="F118" s="77">
        <f ca="1">SQRT(F116^2+F117^2)</f>
        <v>1.3328304077883053E-2</v>
      </c>
      <c r="H118" s="8" t="s">
        <v>75</v>
      </c>
    </row>
    <row r="119" spans="2:17" x14ac:dyDescent="0.2">
      <c r="B119" s="21">
        <v>0</v>
      </c>
      <c r="C119" s="52">
        <v>0</v>
      </c>
      <c r="H119" s="66" t="s">
        <v>41</v>
      </c>
      <c r="I119" s="67">
        <f ca="1">AVERAGE(K111:AD111)</f>
        <v>10.133421172723828</v>
      </c>
      <c r="K119" s="66" t="s">
        <v>76</v>
      </c>
      <c r="L119" s="67">
        <f ca="1">AVERAGE(K109:AD109)</f>
        <v>0.9928084842956828</v>
      </c>
      <c r="N119" s="66" t="s">
        <v>58</v>
      </c>
      <c r="O119" s="67">
        <f ca="1">AVERAGE(K110:AD110)</f>
        <v>10.053172052078704</v>
      </c>
      <c r="Q119">
        <f ca="1">O119/L119</f>
        <v>10.125993291858919</v>
      </c>
    </row>
    <row r="120" spans="2:17" x14ac:dyDescent="0.2">
      <c r="B120" s="44">
        <v>0</v>
      </c>
      <c r="C120" s="60">
        <v>30</v>
      </c>
      <c r="H120" s="68" t="s">
        <v>43</v>
      </c>
      <c r="I120" s="69">
        <f ca="1">STDEV(K111:AD111)</f>
        <v>0.37334203035657765</v>
      </c>
      <c r="K120" s="68" t="s">
        <v>43</v>
      </c>
      <c r="L120" s="69">
        <f ca="1">STDEV(K109:AD109)</f>
        <v>2.1881593350832753E-2</v>
      </c>
      <c r="N120" s="68" t="s">
        <v>43</v>
      </c>
      <c r="O120" s="69">
        <f ca="1">STDEV(N109:AG109)</f>
        <v>2.0903241008718636E-2</v>
      </c>
    </row>
    <row r="121" spans="2:17" x14ac:dyDescent="0.2">
      <c r="H121" s="68" t="s">
        <v>45</v>
      </c>
      <c r="I121" s="70">
        <f ca="1">I120/I119</f>
        <v>3.6842644156694478E-2</v>
      </c>
      <c r="K121" s="71" t="s">
        <v>45</v>
      </c>
      <c r="L121" s="72">
        <f ca="1">L120/L119</f>
        <v>2.2040095040440726E-2</v>
      </c>
      <c r="N121" s="71" t="s">
        <v>45</v>
      </c>
      <c r="O121" s="72">
        <f ca="1">O120/O119</f>
        <v>2.0792682051429183E-3</v>
      </c>
    </row>
    <row r="122" spans="2:17" x14ac:dyDescent="0.2">
      <c r="H122" s="73" t="s">
        <v>77</v>
      </c>
      <c r="I122" s="72">
        <f ca="1">(I119-Cx)/Cx</f>
        <v>1.3342117272382836E-2</v>
      </c>
    </row>
    <row r="123" spans="2:17" x14ac:dyDescent="0.2">
      <c r="H123" t="s">
        <v>78</v>
      </c>
      <c r="I123">
        <f ca="1">F118/I121</f>
        <v>0.36176296199580016</v>
      </c>
      <c r="J123" t="s">
        <v>79</v>
      </c>
    </row>
    <row r="124" spans="2:17" x14ac:dyDescent="0.2">
      <c r="H124" t="s">
        <v>80</v>
      </c>
    </row>
    <row r="125" spans="2:17" x14ac:dyDescent="0.2">
      <c r="H125" t="s">
        <v>81</v>
      </c>
    </row>
    <row r="126" spans="2:17" x14ac:dyDescent="0.2">
      <c r="H126" t="s">
        <v>82</v>
      </c>
    </row>
    <row r="127" spans="2:17" x14ac:dyDescent="0.2">
      <c r="H127" t="s">
        <v>83</v>
      </c>
    </row>
    <row r="128" spans="2:17" x14ac:dyDescent="0.2">
      <c r="H128" t="s">
        <v>84</v>
      </c>
    </row>
    <row r="136" spans="2:4" x14ac:dyDescent="0.2">
      <c r="D136" t="s">
        <v>85</v>
      </c>
    </row>
    <row r="139" spans="2:4" x14ac:dyDescent="0.2">
      <c r="B139" t="s">
        <v>86</v>
      </c>
    </row>
  </sheetData>
  <sheetProtection selectLockedCells="1" selectUnlockedCells="1"/>
  <hyperlinks>
    <hyperlink ref="B74" r:id="rId1" display="toh@umd.edu"/>
    <hyperlink ref="B139" r:id="rId2" display="toh@umd.edu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crollbar">
              <controlPr defaultSize="0" autoFill="0" autoLine="0" autoPict="0" altText="">
                <anchor moveWithCells="1" sizeWithCells="1">
                  <from>
                    <xdr:col>2</xdr:col>
                    <xdr:colOff>571500</xdr:colOff>
                    <xdr:row>55</xdr:row>
                    <xdr:rowOff>133350</xdr:rowOff>
                  </from>
                  <to>
                    <xdr:col>3</xdr:col>
                    <xdr:colOff>257175</xdr:colOff>
                    <xdr:row>57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Sheet1</vt:lpstr>
      <vt:lpstr>blank</vt:lpstr>
      <vt:lpstr>Cs</vt:lpstr>
      <vt:lpstr>Cx</vt:lpstr>
      <vt:lpstr>delta</vt:lpstr>
      <vt:lpstr>Es</vt:lpstr>
      <vt:lpstr>Ev</vt:lpstr>
      <vt:lpstr>intercept</vt:lpstr>
      <vt:lpstr>m</vt:lpstr>
      <vt:lpstr>mo</vt:lpstr>
      <vt:lpstr>n</vt:lpstr>
      <vt:lpstr>nomVs</vt:lpstr>
      <vt:lpstr>ns</vt:lpstr>
      <vt:lpstr>Sheet1!Print_Area</vt:lpstr>
      <vt:lpstr>result</vt:lpstr>
      <vt:lpstr>slope</vt:lpstr>
      <vt:lpstr>Ss</vt:lpstr>
      <vt:lpstr>sumx</vt:lpstr>
      <vt:lpstr>sumx2</vt:lpstr>
      <vt:lpstr>sumxy</vt:lpstr>
      <vt:lpstr>sumy</vt:lpstr>
      <vt:lpstr>Sx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2014-08-31T14:41:24Z</dcterms:created>
  <dcterms:modified xsi:type="dcterms:W3CDTF">2014-08-31T18:19:23Z</dcterms:modified>
</cp:coreProperties>
</file>