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m\Dropbox\models\"/>
    </mc:Choice>
  </mc:AlternateContent>
  <bookViews>
    <workbookView xWindow="0" yWindow="0" windowWidth="16380" windowHeight="8190" tabRatio="294"/>
  </bookViews>
  <sheets>
    <sheet name="Sheet1" sheetId="1" r:id="rId1"/>
  </sheets>
  <definedNames>
    <definedName name="blank">Sheet1!$C$58</definedName>
    <definedName name="Cs">Sheet1!$C$56</definedName>
    <definedName name="Cx">Sheet1!$C$55</definedName>
    <definedName name="Es">Sheet1!$C$54</definedName>
    <definedName name="Ev">Sheet1!$C$53</definedName>
    <definedName name="intercept">Sheet1!$I$91</definedName>
    <definedName name="m">Sheet1!$C$64</definedName>
    <definedName name="mo">Sheet1!$C$50</definedName>
    <definedName name="n">Sheet1!$C$52</definedName>
    <definedName name="nomVs">Sheet1!$C$59</definedName>
    <definedName name="ns">Sheet1!$C$57</definedName>
    <definedName name="pa">Sheet1!$B$162</definedName>
    <definedName name="pb">Sheet1!$C$162</definedName>
    <definedName name="pc">Sheet1!$D$162</definedName>
    <definedName name="_xlnm.Print_Area" localSheetId="0">Sheet1!$A$48:$L$73</definedName>
    <definedName name="qa">Sheet1!$B$136</definedName>
    <definedName name="qb">Sheet1!$C$136</definedName>
    <definedName name="qc">Sheet1!$D$136</definedName>
    <definedName name="result">Sheet1!$C$65</definedName>
    <definedName name="slope">Sheet1!$I$90</definedName>
    <definedName name="Ss">#REF!</definedName>
    <definedName name="Sx">Sheet1!$C$63</definedName>
    <definedName name="z">Sheet1!$C$51</definedName>
  </definedNames>
  <calcPr calcId="152511"/>
</workbook>
</file>

<file path=xl/calcChain.xml><?xml version="1.0" encoding="utf-8"?>
<calcChain xmlns="http://schemas.openxmlformats.org/spreadsheetml/2006/main">
  <c r="H80" i="1" l="1"/>
  <c r="C51" i="1" l="1"/>
  <c r="C55" i="1"/>
  <c r="C56" i="1"/>
  <c r="C64" i="1"/>
  <c r="C77" i="1" s="1"/>
  <c r="C81" i="1"/>
  <c r="C85" i="1"/>
  <c r="D90" i="1"/>
  <c r="B91" i="1"/>
  <c r="C91" i="1" s="1"/>
  <c r="D144" i="1" s="1"/>
  <c r="B92" i="1"/>
  <c r="C92" i="1" s="1"/>
  <c r="D145" i="1" s="1"/>
  <c r="I99" i="1"/>
  <c r="I103" i="1"/>
  <c r="I107" i="1"/>
  <c r="I109" i="1"/>
  <c r="B110" i="1"/>
  <c r="I110" i="1"/>
  <c r="I112" i="1"/>
  <c r="I113" i="1"/>
  <c r="I115" i="1"/>
  <c r="I117" i="1"/>
  <c r="B143" i="1"/>
  <c r="C143" i="1"/>
  <c r="C144" i="1"/>
  <c r="B144" i="1" s="1"/>
  <c r="C145" i="1"/>
  <c r="B145" i="1" s="1"/>
  <c r="C80" i="1" l="1"/>
  <c r="D91" i="1"/>
  <c r="B93" i="1"/>
  <c r="D92" i="1"/>
  <c r="I118" i="1"/>
  <c r="I116" i="1"/>
  <c r="I114" i="1"/>
  <c r="I111" i="1"/>
  <c r="I108" i="1"/>
  <c r="I105" i="1"/>
  <c r="I101" i="1"/>
  <c r="C87" i="1"/>
  <c r="C83" i="1"/>
  <c r="C79" i="1"/>
  <c r="I104" i="1"/>
  <c r="I100" i="1"/>
  <c r="C86" i="1"/>
  <c r="C82" i="1"/>
  <c r="C78" i="1"/>
  <c r="C63" i="1"/>
  <c r="I106" i="1"/>
  <c r="I102" i="1"/>
  <c r="C90" i="1"/>
  <c r="C84" i="1"/>
  <c r="I80" i="1" l="1"/>
  <c r="I83" i="1"/>
  <c r="I79" i="1"/>
  <c r="C110" i="1"/>
  <c r="C113" i="1"/>
  <c r="C93" i="1"/>
  <c r="D146" i="1" s="1"/>
  <c r="C146" i="1"/>
  <c r="B146" i="1" s="1"/>
  <c r="B94" i="1"/>
  <c r="D93" i="1"/>
  <c r="D143" i="1"/>
  <c r="D94" i="1" l="1"/>
  <c r="B95" i="1"/>
  <c r="C147" i="1"/>
  <c r="B147" i="1" s="1"/>
  <c r="C94" i="1"/>
  <c r="D147" i="1" s="1"/>
  <c r="D95" i="1" l="1"/>
  <c r="C148" i="1"/>
  <c r="B148" i="1" s="1"/>
  <c r="B96" i="1"/>
  <c r="C95" i="1"/>
  <c r="D148" i="1" s="1"/>
  <c r="B97" i="1" l="1"/>
  <c r="D96" i="1"/>
  <c r="C96" i="1"/>
  <c r="D149" i="1" s="1"/>
  <c r="C149" i="1"/>
  <c r="B149" i="1" s="1"/>
  <c r="D97" i="1" l="1"/>
  <c r="B98" i="1"/>
  <c r="C97" i="1"/>
  <c r="D150" i="1" s="1"/>
  <c r="C150" i="1"/>
  <c r="B150" i="1" s="1"/>
  <c r="C98" i="1" l="1"/>
  <c r="B99" i="1"/>
  <c r="C151" i="1"/>
  <c r="B151" i="1" s="1"/>
  <c r="D98" i="1"/>
  <c r="D151" i="1" l="1"/>
  <c r="C99" i="1"/>
  <c r="D152" i="1" s="1"/>
  <c r="B100" i="1"/>
  <c r="C152" i="1"/>
  <c r="B152" i="1" s="1"/>
  <c r="D99" i="1"/>
  <c r="C100" i="1" l="1"/>
  <c r="D153" i="1" s="1"/>
  <c r="B101" i="1"/>
  <c r="C153" i="1"/>
  <c r="B153" i="1" s="1"/>
  <c r="D100" i="1"/>
  <c r="C101" i="1" l="1"/>
  <c r="D154" i="1" s="1"/>
  <c r="C154" i="1"/>
  <c r="B154" i="1" s="1"/>
  <c r="D101" i="1"/>
  <c r="B102" i="1"/>
  <c r="C155" i="1" l="1"/>
  <c r="B155" i="1" s="1"/>
  <c r="B103" i="1"/>
  <c r="D102" i="1"/>
  <c r="C102" i="1"/>
  <c r="D155" i="1" s="1"/>
  <c r="C103" i="1" l="1"/>
  <c r="D156" i="1" s="1"/>
  <c r="B104" i="1"/>
  <c r="C156" i="1"/>
  <c r="B156" i="1" s="1"/>
  <c r="D103" i="1"/>
  <c r="B105" i="1" l="1"/>
  <c r="C157" i="1"/>
  <c r="B157" i="1" s="1"/>
  <c r="D104" i="1"/>
  <c r="C104" i="1"/>
  <c r="D157" i="1" s="1"/>
  <c r="D105" i="1" l="1"/>
  <c r="C105" i="1"/>
  <c r="D158" i="1" s="1"/>
  <c r="B106" i="1"/>
  <c r="C158" i="1"/>
  <c r="B158" i="1" s="1"/>
  <c r="C106" i="1" l="1"/>
  <c r="D159" i="1" s="1"/>
  <c r="B107" i="1"/>
  <c r="C159" i="1"/>
  <c r="B159" i="1" s="1"/>
  <c r="D106" i="1"/>
  <c r="D107" i="1" l="1"/>
  <c r="C107" i="1"/>
  <c r="C160" i="1"/>
  <c r="D160" i="1" l="1"/>
  <c r="B162" i="1" s="1" a="1"/>
  <c r="I92" i="1"/>
  <c r="I90" i="1"/>
  <c r="I91" i="1"/>
  <c r="B160" i="1"/>
  <c r="I94" i="1" l="1"/>
  <c r="C67" i="1"/>
  <c r="B162" i="1"/>
  <c r="D164" i="1"/>
  <c r="C166" i="1"/>
  <c r="B164" i="1"/>
  <c r="K75" i="1" s="1"/>
  <c r="B163" i="1"/>
  <c r="C162" i="1"/>
  <c r="C61" i="1" s="1"/>
  <c r="D162" i="1"/>
  <c r="C163" i="1"/>
  <c r="C164" i="1"/>
  <c r="D163" i="1"/>
  <c r="C165" i="1"/>
  <c r="B166" i="1"/>
  <c r="D165" i="1"/>
  <c r="B165" i="1"/>
  <c r="D166" i="1"/>
  <c r="C65" i="1" l="1"/>
  <c r="J111" i="1"/>
  <c r="F147" i="1"/>
  <c r="K147" i="1" s="1"/>
  <c r="J103" i="1"/>
  <c r="J112" i="1"/>
  <c r="F145" i="1"/>
  <c r="K145" i="1" s="1"/>
  <c r="F144" i="1"/>
  <c r="K144" i="1" s="1"/>
  <c r="F146" i="1"/>
  <c r="K146" i="1" s="1"/>
  <c r="J105" i="1"/>
  <c r="J116" i="1"/>
  <c r="C62" i="1"/>
  <c r="J109" i="1"/>
  <c r="J115" i="1"/>
  <c r="J102" i="1"/>
  <c r="J100" i="1"/>
  <c r="J108" i="1"/>
  <c r="J118" i="1"/>
  <c r="J99" i="1"/>
  <c r="J110" i="1"/>
  <c r="J117" i="1"/>
  <c r="J106" i="1"/>
  <c r="J104" i="1"/>
  <c r="J101" i="1"/>
  <c r="J114" i="1"/>
  <c r="F151" i="1"/>
  <c r="K151" i="1" s="1"/>
  <c r="J107" i="1"/>
  <c r="J113" i="1"/>
  <c r="F149" i="1"/>
  <c r="K149" i="1" s="1"/>
  <c r="F148" i="1"/>
  <c r="K148" i="1" s="1"/>
  <c r="F150" i="1"/>
  <c r="K150" i="1" s="1"/>
  <c r="F143" i="1"/>
  <c r="K143" i="1" s="1"/>
  <c r="F152" i="1"/>
  <c r="K152" i="1" s="1"/>
  <c r="F153" i="1"/>
  <c r="K153" i="1" s="1"/>
  <c r="F154" i="1"/>
  <c r="K154" i="1" s="1"/>
  <c r="F155" i="1"/>
  <c r="K155" i="1" s="1"/>
  <c r="F156" i="1"/>
  <c r="K156" i="1" s="1"/>
  <c r="F157" i="1"/>
  <c r="K157" i="1" s="1"/>
  <c r="F158" i="1"/>
  <c r="K158" i="1" s="1"/>
  <c r="F159" i="1"/>
  <c r="K159" i="1" s="1"/>
  <c r="F160" i="1"/>
  <c r="K160" i="1" s="1"/>
  <c r="H82" i="1" l="1"/>
  <c r="H83" i="1"/>
  <c r="K161" i="1"/>
  <c r="K74" i="1" s="1"/>
  <c r="B113" i="1"/>
  <c r="C66" i="1"/>
  <c r="I119" i="1"/>
  <c r="I120" i="1"/>
  <c r="C71" i="1" s="1"/>
  <c r="I121" i="1"/>
  <c r="C72" i="1" s="1"/>
  <c r="I122" i="1" l="1"/>
  <c r="C73" i="1" s="1"/>
  <c r="C70" i="1"/>
</calcChain>
</file>

<file path=xl/sharedStrings.xml><?xml version="1.0" encoding="utf-8"?>
<sst xmlns="http://schemas.openxmlformats.org/spreadsheetml/2006/main" count="171" uniqueCount="141">
  <si>
    <t>Simulation of Calibration Curve Method with non-linear (quadratic) curve fit</t>
  </si>
  <si>
    <t>variable</t>
  </si>
  <si>
    <t>value</t>
  </si>
  <si>
    <t>description</t>
  </si>
  <si>
    <t>Interference factor (zero =&gt; no interference)</t>
  </si>
  <si>
    <t>mo</t>
  </si>
  <si>
    <t>Analytical curve slope without interference</t>
  </si>
  <si>
    <t>z</t>
  </si>
  <si>
    <t>Analytical curve non-linearity (0 = linear)</t>
  </si>
  <si>
    <t>n</t>
  </si>
  <si>
    <t>Ev</t>
  </si>
  <si>
    <t>Random volumetric error (% RSD )</t>
  </si>
  <si>
    <t>True analyte concentration in sample</t>
  </si>
  <si>
    <t>Es</t>
  </si>
  <si>
    <t>Signal measurement error (% RSD)</t>
  </si>
  <si>
    <t>Cx</t>
  </si>
  <si>
    <t>Cs</t>
  </si>
  <si>
    <t>Concentration of highest standard solution</t>
  </si>
  <si>
    <t>ns</t>
  </si>
  <si>
    <t>Number of standard solutions fixws at 18</t>
  </si>
  <si>
    <t>blank</t>
  </si>
  <si>
    <t>(Uncorrected) blank signal</t>
  </si>
  <si>
    <t>Computed results with the calibration curve shown</t>
  </si>
  <si>
    <t xml:space="preserve"> </t>
  </si>
  <si>
    <t>pb</t>
  </si>
  <si>
    <t>Quadratic term of fit</t>
  </si>
  <si>
    <t>pa</t>
  </si>
  <si>
    <t>Linear term of fit</t>
  </si>
  <si>
    <t>Sx</t>
  </si>
  <si>
    <t>Signal given by sample</t>
  </si>
  <si>
    <t>m</t>
  </si>
  <si>
    <t>Analytical curve slope in actual sample</t>
  </si>
  <si>
    <t>result</t>
  </si>
  <si>
    <t>Calculated concentration of unknown</t>
  </si>
  <si>
    <t>accuracy</t>
  </si>
  <si>
    <r>
      <t xml:space="preserve">% difference between </t>
    </r>
    <r>
      <rPr>
        <b/>
        <sz val="11"/>
        <rFont val="Arial"/>
        <family val="2"/>
      </rPr>
      <t>result</t>
    </r>
    <r>
      <rPr>
        <sz val="11"/>
        <rFont val="Arial"/>
        <family val="2"/>
      </rPr>
      <t xml:space="preserve"> and true </t>
    </r>
    <r>
      <rPr>
        <b/>
        <sz val="11"/>
        <rFont val="Arial"/>
        <family val="2"/>
      </rPr>
      <t>Cx</t>
    </r>
  </si>
  <si>
    <t>Linear</t>
  </si>
  <si>
    <t>Accuracy of linear curve fit result</t>
  </si>
  <si>
    <t>Mean</t>
  </si>
  <si>
    <t>Average of 20 repeat sample readings</t>
  </si>
  <si>
    <t>s</t>
  </si>
  <si>
    <t>Standard deviation of the 20 results</t>
  </si>
  <si>
    <t>% RSD</t>
  </si>
  <si>
    <t>Relative standard deviation of 20 results</t>
  </si>
  <si>
    <t>Accuracy</t>
  </si>
  <si>
    <r>
      <t xml:space="preserve">% difference between </t>
    </r>
    <r>
      <rPr>
        <b/>
        <sz val="11"/>
        <rFont val="Arial"/>
        <family val="2"/>
      </rPr>
      <t>mean</t>
    </r>
    <r>
      <rPr>
        <sz val="11"/>
        <rFont val="Arial"/>
        <family val="2"/>
      </rPr>
      <t xml:space="preserve"> and true </t>
    </r>
    <r>
      <rPr>
        <b/>
        <sz val="11"/>
        <rFont val="Arial"/>
        <family val="2"/>
      </rPr>
      <t>Cx</t>
    </r>
  </si>
  <si>
    <t>Percent standard deviation of residuals...</t>
  </si>
  <si>
    <t>Coefficient of determination......................</t>
  </si>
  <si>
    <t>Analytical curve (Blue line on graph)</t>
  </si>
  <si>
    <t xml:space="preserve">  </t>
  </si>
  <si>
    <t>Conc.</t>
  </si>
  <si>
    <t>Signal</t>
  </si>
  <si>
    <t>Standards: Red triangles on graph</t>
  </si>
  <si>
    <t>Linear Fit</t>
  </si>
  <si>
    <t>slope</t>
  </si>
  <si>
    <t>Intercept</t>
  </si>
  <si>
    <r>
      <t>Rsquared (R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</si>
  <si>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t>Result of linear fit</t>
  </si>
  <si>
    <t>Statistics calculations</t>
  </si>
  <si>
    <t>Run number</t>
  </si>
  <si>
    <t>Result</t>
  </si>
  <si>
    <t>LINEST</t>
  </si>
  <si>
    <t>Returns a table of statistics for a straight line that best fits a data set.</t>
  </si>
  <si>
    <t>Syntax</t>
  </si>
  <si>
    <t>LINEST(data_Y; data_X; linearType; stats)</t>
  </si>
  <si>
    <r>
      <t>data_Y</t>
    </r>
    <r>
      <rPr>
        <sz val="10"/>
        <rFont val="Bitstream Vera Sans;Arial"/>
        <family val="2"/>
      </rPr>
      <t xml:space="preserve"> is a single row or column range specifying the y coordinates in a set of data points.</t>
    </r>
  </si>
  <si>
    <r>
      <t>data_X</t>
    </r>
    <r>
      <rPr>
        <sz val="10"/>
        <rFont val="Bitstream Vera Sans;Arial"/>
        <family val="2"/>
      </rPr>
      <t xml:space="preserve"> is a corresponding single row or column range specifying the x coordinates. If </t>
    </r>
    <r>
      <rPr>
        <b/>
        <sz val="10"/>
        <rFont val="Bitstream Vera Sans;Arial"/>
        <family val="2"/>
      </rPr>
      <t>data_X</t>
    </r>
    <r>
      <rPr>
        <sz val="10"/>
        <rFont val="Bitstream Vera Sans;Arial"/>
        <family val="2"/>
      </rPr>
      <t xml:space="preserve"> is omitted it defaults to </t>
    </r>
    <r>
      <rPr>
        <sz val="10"/>
        <rFont val="Bitstream Vera Sans Mono;Cumber"/>
        <family val="2"/>
      </rPr>
      <t>1, 2, 3, ..., n</t>
    </r>
    <r>
      <rPr>
        <sz val="10"/>
        <rFont val="Bitstream Vera Sans;Arial"/>
        <family val="2"/>
      </rPr>
      <t xml:space="preserve">. If there is more than one set of variables </t>
    </r>
    <r>
      <rPr>
        <b/>
        <sz val="10"/>
        <rFont val="Bitstream Vera Sans;Arial"/>
        <family val="2"/>
      </rPr>
      <t>data_X</t>
    </r>
    <r>
      <rPr>
        <sz val="10"/>
        <rFont val="Bitstream Vera Sans;Arial"/>
        <family val="2"/>
      </rPr>
      <t xml:space="preserve"> may be a range with corresponding multiple rows or columns.</t>
    </r>
  </si>
  <si>
    <r>
      <t xml:space="preserve">LINEST finds a straight line </t>
    </r>
    <r>
      <rPr>
        <sz val="10"/>
        <rFont val="Bitstream Vera Sans Mono;Cumber"/>
        <family val="2"/>
      </rPr>
      <t>y = a + bx</t>
    </r>
    <r>
      <rPr>
        <sz val="10"/>
        <rFont val="Arial"/>
        <family val="2"/>
      </rPr>
      <t xml:space="preserve"> that best fits the data, using linear regression (the "least squares" method). With more than one set of variables the straight line is of the form </t>
    </r>
    <r>
      <rPr>
        <sz val="10"/>
        <rFont val="Bitstream Vera Sans Mono;Cumber"/>
        <family val="2"/>
      </rPr>
      <t>y = a + b1x1 + b2x2 ... + bnxn</t>
    </r>
    <r>
      <rPr>
        <sz val="10"/>
        <rFont val="Arial"/>
        <family val="2"/>
      </rPr>
      <t>.</t>
    </r>
  </si>
  <si>
    <r>
      <t>if</t>
    </r>
    <r>
      <rPr>
        <b/>
        <sz val="10"/>
        <rFont val="Bitstream Vera Sans;Arial"/>
        <family val="2"/>
      </rPr>
      <t>linearType</t>
    </r>
    <r>
      <rPr>
        <sz val="10"/>
        <rFont val="Arial"/>
        <family val="2"/>
      </rPr>
      <t xml:space="preserve"> is FALSE the straight line found is forced to pass through the origin (the constant a is zero; y = bx). If omitted, </t>
    </r>
    <r>
      <rPr>
        <b/>
        <sz val="10"/>
        <rFont val="Bitstream Vera Sans;Arial"/>
        <family val="2"/>
      </rPr>
      <t>linearType</t>
    </r>
    <r>
      <rPr>
        <sz val="10"/>
        <rFont val="Arial"/>
        <family val="2"/>
      </rPr>
      <t xml:space="preserve"> defaults to TRUE (the line is not forced through the origin).</t>
    </r>
  </si>
  <si>
    <r>
      <t>if</t>
    </r>
    <r>
      <rPr>
        <b/>
        <sz val="10"/>
        <rFont val="Bitstream Vera Sans;Arial"/>
        <family val="2"/>
      </rPr>
      <t>stats</t>
    </r>
    <r>
      <rPr>
        <sz val="10"/>
        <rFont val="Arial"/>
        <family val="2"/>
      </rPr>
      <t xml:space="preserve"> is omitted or FALSE only the top line of the statistics table is returned. If TRUE the entire table is returned.</t>
    </r>
  </si>
  <si>
    <t>LINEST returns a table (array) of statistics as below and must be entered as an array formula (for example by using Ctrl+Shift+Return rather than just Return).</t>
  </si>
  <si>
    <t xml:space="preserve">In the OpenOffice.org Calc functions, parameters marked as "optional" can be left out only when no parameter follows. For example, in a function with four parameters, where the last two parameters are marked as "optional", you can leave out parameter 4 or parameters 3 and 4, but you cannot leave out parameter 3 alone. </t>
  </si>
  <si>
    <t>Sample (Yellow triangle)</t>
  </si>
  <si>
    <t xml:space="preserve">More explanations on top of this page. </t>
  </si>
  <si>
    <t>Example</t>
  </si>
  <si>
    <r>
      <t xml:space="preserve">This function returns an array and is handled in the same way as the other array functions. Select a range for the answers and then the function. Select </t>
    </r>
    <r>
      <rPr>
        <b/>
        <sz val="10"/>
        <rFont val="Bitstream Vera Sans;Arial"/>
        <family val="2"/>
      </rPr>
      <t>data_Y</t>
    </r>
    <r>
      <rPr>
        <sz val="10"/>
        <rFont val="Arial"/>
        <family val="2"/>
      </rPr>
      <t xml:space="preserve">. If you want, you can enter other parameters. Select </t>
    </r>
    <r>
      <rPr>
        <b/>
        <sz val="10"/>
        <rFont val="Bitstream Vera Sans;Arial"/>
        <family val="2"/>
      </rPr>
      <t>Array</t>
    </r>
    <r>
      <rPr>
        <sz val="10"/>
        <rFont val="Arial"/>
        <family val="2"/>
      </rPr>
      <t xml:space="preserve"> and click </t>
    </r>
    <r>
      <rPr>
        <b/>
        <sz val="10"/>
        <rFont val="Bitstream Vera Sans;Arial"/>
        <family val="2"/>
      </rPr>
      <t>OK</t>
    </r>
    <r>
      <rPr>
        <sz val="10"/>
        <rFont val="Arial"/>
        <family val="2"/>
      </rPr>
      <t>.</t>
    </r>
  </si>
  <si>
    <t>Measured Cx (result)</t>
  </si>
  <si>
    <r>
      <t xml:space="preserve">The results returned by the system (if </t>
    </r>
    <r>
      <rPr>
        <b/>
        <sz val="10"/>
        <rFont val="Bitstream Vera Sans;Arial"/>
        <family val="2"/>
      </rPr>
      <t>stats</t>
    </r>
    <r>
      <rPr>
        <sz val="10"/>
        <rFont val="Arial"/>
        <family val="2"/>
      </rPr>
      <t xml:space="preserve"> = 0), will at least show the slope of the regression line and its intersection with the Y axis. If </t>
    </r>
    <r>
      <rPr>
        <b/>
        <sz val="10"/>
        <rFont val="Bitstream Vera Sans;Arial"/>
        <family val="2"/>
      </rPr>
      <t>stats</t>
    </r>
    <r>
      <rPr>
        <sz val="10"/>
        <rFont val="Arial"/>
        <family val="2"/>
      </rPr>
      <t xml:space="preserve"> does not equal 0, other results are to be displayed.</t>
    </r>
  </si>
  <si>
    <t>Other LINEST Results:</t>
  </si>
  <si>
    <t>Examine the following examples:</t>
  </si>
  <si>
    <t>A</t>
  </si>
  <si>
    <t>B</t>
  </si>
  <si>
    <t>C</t>
  </si>
  <si>
    <t>D</t>
  </si>
  <si>
    <t>E</t>
  </si>
  <si>
    <t>F</t>
  </si>
  <si>
    <t>G</t>
  </si>
  <si>
    <r>
      <t>1</t>
    </r>
    <r>
      <rPr>
        <sz val="10"/>
        <rFont val="Bitstream Vera Sans;Arial"/>
        <family val="2"/>
      </rPr>
      <t xml:space="preserve"> </t>
    </r>
  </si>
  <si>
    <t xml:space="preserve">x1 </t>
  </si>
  <si>
    <t xml:space="preserve">x2 </t>
  </si>
  <si>
    <t xml:space="preserve">y </t>
  </si>
  <si>
    <t xml:space="preserve">LIN EST value </t>
  </si>
  <si>
    <r>
      <t>2</t>
    </r>
    <r>
      <rPr>
        <sz val="10"/>
        <rFont val="Bitstream Vera Sans;Arial"/>
        <family val="2"/>
      </rPr>
      <t xml:space="preserve"> </t>
    </r>
  </si>
  <si>
    <t xml:space="preserve">4,17 </t>
  </si>
  <si>
    <t xml:space="preserve">-3,48 </t>
  </si>
  <si>
    <t xml:space="preserve">82,33 </t>
  </si>
  <si>
    <r>
      <t>3</t>
    </r>
    <r>
      <rPr>
        <sz val="10"/>
        <rFont val="Bitstream Vera Sans;Arial"/>
        <family val="2"/>
      </rPr>
      <t xml:space="preserve"> </t>
    </r>
  </si>
  <si>
    <t xml:space="preserve">5,46 </t>
  </si>
  <si>
    <t xml:space="preserve">10,96 </t>
  </si>
  <si>
    <t xml:space="preserve">9,35 </t>
  </si>
  <si>
    <r>
      <t>4</t>
    </r>
    <r>
      <rPr>
        <sz val="10"/>
        <rFont val="Bitstream Vera Sans;Arial"/>
        <family val="2"/>
      </rPr>
      <t xml:space="preserve"> </t>
    </r>
  </si>
  <si>
    <t xml:space="preserve">0,87 </t>
  </si>
  <si>
    <t xml:space="preserve">5,06 </t>
  </si>
  <si>
    <t xml:space="preserve">#NA </t>
  </si>
  <si>
    <r>
      <t>5</t>
    </r>
    <r>
      <rPr>
        <sz val="10"/>
        <rFont val="Bitstream Vera Sans;Arial"/>
        <family val="2"/>
      </rPr>
      <t xml:space="preserve"> </t>
    </r>
  </si>
  <si>
    <t xml:space="preserve">13,21 </t>
  </si>
  <si>
    <r>
      <t>6</t>
    </r>
    <r>
      <rPr>
        <sz val="10"/>
        <rFont val="Bitstream Vera Sans;Arial"/>
        <family val="2"/>
      </rPr>
      <t xml:space="preserve"> </t>
    </r>
  </si>
  <si>
    <t xml:space="preserve">675,45 </t>
  </si>
  <si>
    <t xml:space="preserve">102,26 </t>
  </si>
  <si>
    <r>
      <t>7</t>
    </r>
    <r>
      <rPr>
        <sz val="10"/>
        <rFont val="Bitstream Vera Sans;Arial"/>
        <family val="2"/>
      </rPr>
      <t xml:space="preserve"> </t>
    </r>
  </si>
  <si>
    <r>
      <t>8</t>
    </r>
    <r>
      <rPr>
        <sz val="10"/>
        <rFont val="Bitstream Vera Sans;Arial"/>
        <family val="2"/>
      </rPr>
      <t xml:space="preserve"> </t>
    </r>
  </si>
  <si>
    <r>
      <t xml:space="preserve">Column A contains several X1 values, column B several X2 values and column C the Y values. You have already entered these values in your spreadsheet. You have now set up E2:G6 in the spreadsheet and activated the </t>
    </r>
    <r>
      <rPr>
        <b/>
        <sz val="10"/>
        <rFont val="Bitstream Vera Sans;Arial"/>
        <family val="2"/>
      </rPr>
      <t>Function Wizard</t>
    </r>
    <r>
      <rPr>
        <sz val="10"/>
        <rFont val="Arial"/>
        <family val="2"/>
      </rPr>
      <t xml:space="preserve">. For the LINEST function to work, you must have marked the </t>
    </r>
    <r>
      <rPr>
        <b/>
        <sz val="10"/>
        <rFont val="Bitstream Vera Sans;Arial"/>
        <family val="2"/>
      </rPr>
      <t>Array</t>
    </r>
    <r>
      <rPr>
        <sz val="10"/>
        <rFont val="Arial"/>
        <family val="2"/>
      </rPr>
      <t xml:space="preserve"> check box in the </t>
    </r>
    <r>
      <rPr>
        <b/>
        <sz val="10"/>
        <rFont val="Bitstream Vera Sans;Arial"/>
        <family val="2"/>
      </rPr>
      <t>Function Wizard</t>
    </r>
    <r>
      <rPr>
        <sz val="10"/>
        <rFont val="Arial"/>
        <family val="2"/>
      </rPr>
      <t>. Next, select the following values in the spreadsheet (or enter them using the keyboard):</t>
    </r>
  </si>
  <si>
    <r>
      <t>data_Y</t>
    </r>
    <r>
      <rPr>
        <sz val="10"/>
        <rFont val="Bitstream Vera Sans;Arial"/>
        <family val="2"/>
      </rPr>
      <t xml:space="preserve"> is C2:C8</t>
    </r>
  </si>
  <si>
    <r>
      <t>data_X</t>
    </r>
    <r>
      <rPr>
        <sz val="10"/>
        <rFont val="Bitstream Vera Sans;Arial"/>
        <family val="2"/>
      </rPr>
      <t xml:space="preserve"> is A2:B8</t>
    </r>
  </si>
  <si>
    <r>
      <t>linearType</t>
    </r>
    <r>
      <rPr>
        <sz val="10"/>
        <rFont val="Bitstream Vera Sans;Arial"/>
        <family val="2"/>
      </rPr>
      <t xml:space="preserve"> and </t>
    </r>
    <r>
      <rPr>
        <b/>
        <sz val="10"/>
        <rFont val="Bitstream Vera Sans;Arial"/>
        <family val="2"/>
      </rPr>
      <t>stats</t>
    </r>
    <r>
      <rPr>
        <sz val="10"/>
        <rFont val="Bitstream Vera Sans;Arial"/>
        <family val="2"/>
      </rPr>
      <t xml:space="preserve"> are both set to 1.</t>
    </r>
  </si>
  <si>
    <r>
      <t xml:space="preserve">As soon as you click </t>
    </r>
    <r>
      <rPr>
        <b/>
        <sz val="10"/>
        <rFont val="Bitstream Vera Sans;Arial"/>
        <family val="2"/>
      </rPr>
      <t>OK</t>
    </r>
    <r>
      <rPr>
        <sz val="10"/>
        <rFont val="Arial"/>
        <family val="2"/>
      </rPr>
      <t>, OpenOffice.org Calc will fill the above example with the LINEST values as shown in the example.</t>
    </r>
  </si>
  <si>
    <r>
      <t xml:space="preserve">The formula in the </t>
    </r>
    <r>
      <rPr>
        <b/>
        <sz val="10"/>
        <rFont val="Bitstream Vera Sans;Arial"/>
        <family val="2"/>
      </rPr>
      <t>Formula</t>
    </r>
    <r>
      <rPr>
        <sz val="10"/>
        <rFont val="Arial"/>
        <family val="2"/>
      </rPr>
      <t xml:space="preserve"> Bar corresponds to each cell of the LINEST array {=LINEST(C2:C8;A2:B8;1;1)} </t>
    </r>
  </si>
  <si>
    <r>
      <t>This represents the calculated LINEST values:</t>
    </r>
    <r>
      <rPr>
        <sz val="10"/>
        <rFont val="Bitstream Vera Sans;Arial"/>
        <family val="2"/>
      </rPr>
      <t xml:space="preserve"> </t>
    </r>
  </si>
  <si>
    <t>E2 and F2: Slope m of the regression line y=b+m*x for the x1 and x2 values. The values are given in reverse order; that is, the slope for x2 in E2 and the slope for x1 in F2.</t>
  </si>
  <si>
    <t>G2: Intersection b with the y axis.</t>
  </si>
  <si>
    <t>E3 and F3: The standard error of the slope value.</t>
  </si>
  <si>
    <t>G3: The standard error of the intercept</t>
  </si>
  <si>
    <t>E4: RSQ</t>
  </si>
  <si>
    <t>F4: The standard error of the regression calculated for the Y value.</t>
  </si>
  <si>
    <t>E5: The F value from the variance analysis.</t>
  </si>
  <si>
    <t>F5: The degrees of freedom from the variance analysis.</t>
  </si>
  <si>
    <t>E6: The sum of the squared deviation of the estimated Y values from their linear mean.</t>
  </si>
  <si>
    <t>Regular Quadratic Fit (Green line on graph)</t>
  </si>
  <si>
    <t>F6: The sum of the squared deviation of the estimated Y value from the given Y values.</t>
  </si>
  <si>
    <t>C2</t>
  </si>
  <si>
    <t>predicted C</t>
  </si>
  <si>
    <t>C-Cpred</t>
  </si>
  <si>
    <t>pc</t>
  </si>
  <si>
    <t>Average error</t>
  </si>
  <si>
    <r>
      <t>“=LINEST(</t>
    </r>
    <r>
      <rPr>
        <sz val="10"/>
        <color indexed="12"/>
        <rFont val="Arial"/>
        <family val="2"/>
      </rPr>
      <t>D143:D160</t>
    </r>
    <r>
      <rPr>
        <sz val="10"/>
        <rFont val="Arial"/>
        <family val="2"/>
      </rPr>
      <t>;B</t>
    </r>
    <r>
      <rPr>
        <sz val="10"/>
        <color indexed="12"/>
        <rFont val="Arial"/>
        <family val="2"/>
      </rPr>
      <t>143:C160</t>
    </r>
    <r>
      <rPr>
        <sz val="10"/>
        <rFont val="Arial"/>
        <family val="2"/>
      </rPr>
      <t>;1;1)”</t>
    </r>
  </si>
  <si>
    <t>Statistics of 20 sample measurements (same calibration)</t>
  </si>
  <si>
    <r>
      <t>Tom O'Haver (</t>
    </r>
    <r>
      <rPr>
        <sz val="10"/>
        <color indexed="12"/>
        <rFont val="Arial"/>
        <family val="2"/>
      </rPr>
      <t>toh@umd.edu</t>
    </r>
    <r>
      <rPr>
        <sz val="10"/>
        <rFont val="Arial"/>
        <family val="2"/>
      </rPr>
      <t>), 2014</t>
    </r>
  </si>
  <si>
    <t>Sample signal reading (horizontal dotted green line)</t>
  </si>
  <si>
    <t>Calculated sample concentration (vertical blue dotted line)</t>
  </si>
  <si>
    <t>Quadratic fit</t>
  </si>
  <si>
    <t>Performed by the LINEST function in D143:D160,B143:C160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</si>
</sst>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0.000"/>
    <numFmt numFmtId="166" formatCode="0.00000"/>
  </numFmts>
  <fonts count="22"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26"/>
      <name val="Arial"/>
      <family val="2"/>
    </font>
    <font>
      <sz val="11"/>
      <color indexed="26"/>
      <name val="Arial"/>
      <family val="2"/>
    </font>
    <font>
      <sz val="10"/>
      <color indexed="9"/>
      <name val="Arial"/>
      <family val="2"/>
    </font>
    <font>
      <b/>
      <sz val="12"/>
      <name val="Symbol"/>
      <family val="1"/>
      <charset val="2"/>
    </font>
    <font>
      <sz val="10"/>
      <color indexed="12"/>
      <name val="Arial"/>
      <family val="2"/>
    </font>
    <font>
      <sz val="12"/>
      <name val="Arial"/>
      <family val="2"/>
    </font>
    <font>
      <sz val="8"/>
      <name val="Arial"/>
      <family val="2"/>
    </font>
    <font>
      <vertAlign val="superscript"/>
      <sz val="10"/>
      <name val="Arial"/>
      <family val="2"/>
    </font>
    <font>
      <b/>
      <sz val="14"/>
      <name val="Bitstream Vera Sans;Arial"/>
      <family val="2"/>
    </font>
    <font>
      <sz val="10"/>
      <name val="Bitstream Vera Sans;Arial"/>
      <family val="2"/>
    </font>
    <font>
      <b/>
      <sz val="12"/>
      <name val="Bitstream Vera Sans;Arial"/>
      <family val="2"/>
    </font>
    <font>
      <sz val="10"/>
      <name val="Bitstream Vera Sans Mono;Cumber"/>
      <family val="2"/>
    </font>
    <font>
      <b/>
      <sz val="10"/>
      <name val="Bitstream Vera Sans;Arial"/>
      <family val="2"/>
    </font>
    <font>
      <sz val="2"/>
      <name val="Bitstream Vera Sans;Arial"/>
      <family val="2"/>
    </font>
    <font>
      <b/>
      <sz val="11"/>
      <color rgb="FF0033CC"/>
      <name val="Arial"/>
      <family val="2"/>
    </font>
    <font>
      <b/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7" tint="0.59999389629810485"/>
        <bgColor indexed="64"/>
      </patternFill>
    </fill>
  </fills>
  <borders count="17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Alignment="1">
      <alignment vertical="center"/>
    </xf>
    <xf numFmtId="49" fontId="1" fillId="0" borderId="0" xfId="0" applyNumberFormat="1" applyFont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49" fontId="3" fillId="3" borderId="2" xfId="0" applyNumberFormat="1" applyFont="1" applyFill="1" applyBorder="1" applyAlignment="1" applyProtection="1">
      <alignment horizontal="left"/>
      <protection locked="0"/>
    </xf>
    <xf numFmtId="49" fontId="4" fillId="2" borderId="3" xfId="0" applyNumberFormat="1" applyFont="1" applyFill="1" applyBorder="1" applyAlignment="1" applyProtection="1">
      <alignment horizontal="left"/>
      <protection locked="0"/>
    </xf>
    <xf numFmtId="49" fontId="5" fillId="2" borderId="5" xfId="0" applyNumberFormat="1" applyFont="1" applyFill="1" applyBorder="1" applyAlignment="1" applyProtection="1">
      <alignment horizontal="left"/>
      <protection locked="0"/>
    </xf>
    <xf numFmtId="0" fontId="2" fillId="0" borderId="0" xfId="0" applyFont="1" applyAlignment="1">
      <alignment horizontal="right"/>
    </xf>
    <xf numFmtId="49" fontId="4" fillId="2" borderId="6" xfId="0" applyNumberFormat="1" applyFont="1" applyFill="1" applyBorder="1" applyAlignment="1" applyProtection="1">
      <alignment horizontal="left"/>
      <protection locked="0"/>
    </xf>
    <xf numFmtId="49" fontId="5" fillId="2" borderId="2" xfId="0" applyNumberFormat="1" applyFont="1" applyFill="1" applyBorder="1" applyAlignment="1" applyProtection="1">
      <alignment horizontal="left"/>
      <protection locked="0"/>
    </xf>
    <xf numFmtId="49" fontId="3" fillId="0" borderId="0" xfId="0" applyNumberFormat="1" applyFont="1" applyBorder="1" applyAlignment="1" applyProtection="1">
      <alignment horizontal="left"/>
      <protection locked="0"/>
    </xf>
    <xf numFmtId="0" fontId="2" fillId="0" borderId="0" xfId="0" applyFont="1"/>
    <xf numFmtId="49" fontId="6" fillId="2" borderId="6" xfId="0" applyNumberFormat="1" applyFont="1" applyFill="1" applyBorder="1" applyAlignment="1" applyProtection="1">
      <alignment horizontal="left"/>
      <protection locked="0"/>
    </xf>
    <xf numFmtId="49" fontId="7" fillId="2" borderId="2" xfId="0" applyNumberFormat="1" applyFont="1" applyFill="1" applyBorder="1" applyAlignment="1" applyProtection="1">
      <alignment horizontal="right"/>
      <protection locked="0"/>
    </xf>
    <xf numFmtId="49" fontId="4" fillId="2" borderId="7" xfId="0" applyNumberFormat="1" applyFont="1" applyFill="1" applyBorder="1" applyAlignment="1" applyProtection="1">
      <alignment horizontal="left"/>
      <protection locked="0"/>
    </xf>
    <xf numFmtId="49" fontId="5" fillId="2" borderId="9" xfId="0" applyNumberFormat="1" applyFont="1" applyFill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4" fillId="0" borderId="3" xfId="0" applyFont="1" applyBorder="1"/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6" xfId="0" applyBorder="1"/>
    <xf numFmtId="0" fontId="0" fillId="0" borderId="0" xfId="0" applyBorder="1"/>
    <xf numFmtId="49" fontId="4" fillId="0" borderId="3" xfId="0" applyNumberFormat="1" applyFont="1" applyBorder="1" applyAlignment="1" applyProtection="1">
      <alignment horizontal="left"/>
      <protection locked="0"/>
    </xf>
    <xf numFmtId="165" fontId="4" fillId="0" borderId="4" xfId="0" applyNumberFormat="1" applyFont="1" applyBorder="1" applyAlignment="1" applyProtection="1">
      <alignment horizontal="center"/>
    </xf>
    <xf numFmtId="49" fontId="5" fillId="0" borderId="5" xfId="0" applyNumberFormat="1" applyFont="1" applyBorder="1" applyAlignment="1" applyProtection="1">
      <alignment horizontal="left"/>
      <protection locked="0"/>
    </xf>
    <xf numFmtId="49" fontId="4" fillId="0" borderId="6" xfId="0" applyNumberFormat="1" applyFont="1" applyBorder="1" applyAlignment="1" applyProtection="1">
      <alignment horizontal="left"/>
      <protection locked="0"/>
    </xf>
    <xf numFmtId="165" fontId="4" fillId="0" borderId="0" xfId="0" applyNumberFormat="1" applyFont="1" applyAlignment="1" applyProtection="1">
      <alignment horizontal="center"/>
    </xf>
    <xf numFmtId="49" fontId="5" fillId="0" borderId="0" xfId="0" applyNumberFormat="1" applyFont="1" applyBorder="1" applyAlignment="1" applyProtection="1">
      <alignment horizontal="left"/>
      <protection locked="0"/>
    </xf>
    <xf numFmtId="49" fontId="5" fillId="0" borderId="2" xfId="0" applyNumberFormat="1" applyFont="1" applyBorder="1" applyAlignment="1" applyProtection="1">
      <alignment horizontal="left"/>
      <protection locked="0"/>
    </xf>
    <xf numFmtId="165" fontId="4" fillId="0" borderId="0" xfId="0" applyNumberFormat="1" applyFont="1" applyAlignment="1" applyProtection="1">
      <alignment horizontal="center"/>
      <protection locked="0"/>
    </xf>
    <xf numFmtId="10" fontId="4" fillId="0" borderId="0" xfId="0" applyNumberFormat="1" applyFont="1" applyAlignment="1" applyProtection="1">
      <alignment horizontal="center"/>
    </xf>
    <xf numFmtId="0" fontId="5" fillId="0" borderId="2" xfId="0" applyFont="1" applyBorder="1"/>
    <xf numFmtId="49" fontId="4" fillId="0" borderId="7" xfId="0" applyNumberFormat="1" applyFont="1" applyBorder="1" applyAlignment="1" applyProtection="1">
      <alignment horizontal="left"/>
      <protection locked="0"/>
    </xf>
    <xf numFmtId="10" fontId="4" fillId="0" borderId="8" xfId="0" applyNumberFormat="1" applyFont="1" applyBorder="1" applyAlignment="1" applyProtection="1">
      <alignment horizontal="center"/>
    </xf>
    <xf numFmtId="49" fontId="5" fillId="0" borderId="9" xfId="0" applyNumberFormat="1" applyFont="1" applyBorder="1" applyAlignment="1" applyProtection="1">
      <alignment horizontal="left"/>
      <protection locked="0"/>
    </xf>
    <xf numFmtId="0" fontId="4" fillId="0" borderId="10" xfId="0" applyFont="1" applyBorder="1"/>
    <xf numFmtId="0" fontId="0" fillId="0" borderId="11" xfId="0" applyBorder="1"/>
    <xf numFmtId="0" fontId="0" fillId="0" borderId="12" xfId="0" applyBorder="1"/>
    <xf numFmtId="164" fontId="4" fillId="0" borderId="0" xfId="0" applyNumberFormat="1" applyFont="1" applyAlignment="1" applyProtection="1">
      <alignment horizontal="center"/>
    </xf>
    <xf numFmtId="0" fontId="8" fillId="0" borderId="0" xfId="0" applyFont="1" applyProtection="1">
      <protection hidden="1"/>
    </xf>
    <xf numFmtId="49" fontId="9" fillId="0" borderId="6" xfId="0" applyNumberFormat="1" applyFont="1" applyBorder="1" applyAlignment="1" applyProtection="1">
      <alignment horizontal="left"/>
      <protection locked="0"/>
    </xf>
    <xf numFmtId="0" fontId="4" fillId="0" borderId="0" xfId="0" applyFont="1"/>
    <xf numFmtId="10" fontId="4" fillId="0" borderId="0" xfId="0" applyNumberFormat="1" applyFont="1"/>
    <xf numFmtId="10" fontId="4" fillId="0" borderId="8" xfId="0" applyNumberFormat="1" applyFont="1" applyBorder="1"/>
    <xf numFmtId="0" fontId="5" fillId="0" borderId="9" xfId="0" applyFont="1" applyBorder="1"/>
    <xf numFmtId="0" fontId="11" fillId="0" borderId="0" xfId="0" applyFont="1" applyBorder="1"/>
    <xf numFmtId="0" fontId="2" fillId="0" borderId="0" xfId="0" applyFont="1" applyBorder="1"/>
    <xf numFmtId="10" fontId="4" fillId="0" borderId="0" xfId="0" applyNumberFormat="1" applyFont="1" applyBorder="1" applyAlignment="1">
      <alignment horizontal="center"/>
    </xf>
    <xf numFmtId="166" fontId="4" fillId="0" borderId="0" xfId="0" applyNumberFormat="1" applyFont="1" applyAlignment="1">
      <alignment horizontal="left"/>
    </xf>
    <xf numFmtId="0" fontId="0" fillId="0" borderId="3" xfId="0" applyBorder="1"/>
    <xf numFmtId="164" fontId="0" fillId="0" borderId="0" xfId="0" applyNumberFormat="1" applyBorder="1" applyAlignment="1" applyProtection="1">
      <alignment horizontal="center"/>
    </xf>
    <xf numFmtId="0" fontId="0" fillId="0" borderId="7" xfId="0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2" fillId="0" borderId="3" xfId="0" applyFont="1" applyBorder="1"/>
    <xf numFmtId="164" fontId="0" fillId="0" borderId="3" xfId="0" applyNumberFormat="1" applyBorder="1"/>
    <xf numFmtId="164" fontId="5" fillId="0" borderId="0" xfId="0" applyNumberFormat="1" applyFont="1" applyBorder="1" applyAlignment="1" applyProtection="1">
      <alignment horizontal="center"/>
    </xf>
    <xf numFmtId="164" fontId="0" fillId="0" borderId="5" xfId="0" applyNumberFormat="1" applyBorder="1"/>
    <xf numFmtId="2" fontId="0" fillId="0" borderId="5" xfId="0" applyNumberFormat="1" applyBorder="1" applyAlignment="1">
      <alignment horizontal="left" indent="1"/>
    </xf>
    <xf numFmtId="0" fontId="12" fillId="0" borderId="6" xfId="0" applyFont="1" applyBorder="1"/>
    <xf numFmtId="164" fontId="0" fillId="0" borderId="6" xfId="0" applyNumberFormat="1" applyBorder="1"/>
    <xf numFmtId="164" fontId="0" fillId="0" borderId="2" xfId="0" applyNumberFormat="1" applyBorder="1"/>
    <xf numFmtId="165" fontId="0" fillId="0" borderId="2" xfId="0" applyNumberFormat="1" applyBorder="1" applyAlignment="1">
      <alignment horizontal="left" indent="1"/>
    </xf>
    <xf numFmtId="164" fontId="0" fillId="0" borderId="9" xfId="0" applyNumberFormat="1" applyBorder="1" applyAlignment="1">
      <alignment horizontal="left" indent="1"/>
    </xf>
    <xf numFmtId="165" fontId="0" fillId="0" borderId="0" xfId="0" applyNumberFormat="1"/>
    <xf numFmtId="49" fontId="0" fillId="0" borderId="10" xfId="0" applyNumberFormat="1" applyFont="1" applyBorder="1" applyAlignment="1" applyProtection="1">
      <alignment horizontal="center"/>
    </xf>
    <xf numFmtId="49" fontId="0" fillId="0" borderId="12" xfId="0" applyNumberFormat="1" applyFont="1" applyBorder="1" applyAlignment="1" applyProtection="1">
      <alignment horizontal="center"/>
    </xf>
    <xf numFmtId="0" fontId="0" fillId="0" borderId="1" xfId="0" applyFont="1" applyBorder="1"/>
    <xf numFmtId="0" fontId="14" fillId="0" borderId="0" xfId="0" applyFont="1"/>
    <xf numFmtId="1" fontId="0" fillId="0" borderId="6" xfId="0" applyNumberFormat="1" applyBorder="1" applyProtection="1"/>
    <xf numFmtId="164" fontId="5" fillId="0" borderId="0" xfId="0" applyNumberFormat="1" applyFont="1" applyAlignment="1" applyProtection="1">
      <alignment horizontal="center"/>
      <protection locked="0"/>
    </xf>
    <xf numFmtId="0" fontId="0" fillId="0" borderId="2" xfId="0" applyBorder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0" fillId="0" borderId="0" xfId="0" applyFont="1"/>
    <xf numFmtId="0" fontId="12" fillId="0" borderId="7" xfId="0" applyFont="1" applyBorder="1"/>
    <xf numFmtId="164" fontId="0" fillId="0" borderId="7" xfId="0" applyNumberFormat="1" applyBorder="1"/>
    <xf numFmtId="164" fontId="0" fillId="0" borderId="9" xfId="0" applyNumberFormat="1" applyBorder="1"/>
    <xf numFmtId="0" fontId="2" fillId="0" borderId="3" xfId="0" applyFont="1" applyBorder="1"/>
    <xf numFmtId="0" fontId="0" fillId="0" borderId="5" xfId="0" applyBorder="1"/>
    <xf numFmtId="0" fontId="0" fillId="0" borderId="9" xfId="0" applyBorder="1"/>
    <xf numFmtId="0" fontId="19" fillId="0" borderId="13" xfId="0" applyFont="1" applyBorder="1"/>
    <xf numFmtId="0" fontId="15" fillId="0" borderId="13" xfId="0" applyFont="1" applyBorder="1"/>
    <xf numFmtId="0" fontId="15" fillId="0" borderId="14" xfId="0" applyFont="1" applyBorder="1"/>
    <xf numFmtId="0" fontId="18" fillId="0" borderId="15" xfId="0" applyFont="1" applyBorder="1"/>
    <xf numFmtId="0" fontId="15" fillId="0" borderId="15" xfId="0" applyFont="1" applyBorder="1"/>
    <xf numFmtId="0" fontId="19" fillId="0" borderId="15" xfId="0" applyFont="1" applyBorder="1"/>
    <xf numFmtId="0" fontId="19" fillId="0" borderId="16" xfId="0" applyFont="1" applyBorder="1"/>
    <xf numFmtId="0" fontId="15" fillId="0" borderId="16" xfId="0" applyFont="1" applyBorder="1"/>
    <xf numFmtId="1" fontId="0" fillId="0" borderId="7" xfId="0" applyNumberFormat="1" applyBorder="1" applyProtection="1"/>
    <xf numFmtId="49" fontId="0" fillId="0" borderId="3" xfId="0" applyNumberFormat="1" applyFont="1" applyBorder="1" applyAlignment="1" applyProtection="1">
      <alignment horizontal="left"/>
      <protection locked="0"/>
    </xf>
    <xf numFmtId="165" fontId="2" fillId="0" borderId="5" xfId="0" applyNumberFormat="1" applyFont="1" applyBorder="1" applyProtection="1">
      <protection locked="0"/>
    </xf>
    <xf numFmtId="49" fontId="0" fillId="0" borderId="6" xfId="0" applyNumberFormat="1" applyFont="1" applyBorder="1" applyAlignment="1" applyProtection="1">
      <alignment horizontal="left"/>
      <protection locked="0"/>
    </xf>
    <xf numFmtId="164" fontId="2" fillId="0" borderId="2" xfId="0" applyNumberFormat="1" applyFont="1" applyBorder="1" applyProtection="1">
      <protection locked="0"/>
    </xf>
    <xf numFmtId="10" fontId="2" fillId="0" borderId="2" xfId="0" applyNumberFormat="1" applyFont="1" applyBorder="1" applyProtection="1">
      <protection locked="0"/>
    </xf>
    <xf numFmtId="49" fontId="2" fillId="0" borderId="7" xfId="0" applyNumberFormat="1" applyFont="1" applyBorder="1" applyAlignment="1" applyProtection="1">
      <alignment horizontal="left"/>
      <protection locked="0"/>
    </xf>
    <xf numFmtId="10" fontId="2" fillId="0" borderId="9" xfId="0" applyNumberFormat="1" applyFont="1" applyBorder="1" applyProtection="1">
      <protection locked="0"/>
    </xf>
    <xf numFmtId="0" fontId="0" fillId="0" borderId="0" xfId="0" applyAlignment="1">
      <alignment horizontal="left"/>
    </xf>
    <xf numFmtId="10" fontId="0" fillId="0" borderId="0" xfId="0" applyNumberFormat="1"/>
    <xf numFmtId="0" fontId="2" fillId="0" borderId="6" xfId="0" applyFont="1" applyBorder="1" applyAlignment="1">
      <alignment horizontal="right"/>
    </xf>
    <xf numFmtId="10" fontId="2" fillId="0" borderId="0" xfId="0" applyNumberFormat="1" applyFont="1"/>
    <xf numFmtId="0" fontId="0" fillId="0" borderId="8" xfId="0" applyBorder="1"/>
    <xf numFmtId="164" fontId="20" fillId="2" borderId="4" xfId="0" applyNumberFormat="1" applyFont="1" applyFill="1" applyBorder="1" applyAlignment="1" applyProtection="1">
      <alignment horizontal="center"/>
      <protection locked="0"/>
    </xf>
    <xf numFmtId="164" fontId="20" fillId="2" borderId="0" xfId="0" applyNumberFormat="1" applyFont="1" applyFill="1" applyAlignment="1" applyProtection="1">
      <alignment horizontal="center"/>
    </xf>
    <xf numFmtId="164" fontId="20" fillId="2" borderId="0" xfId="0" applyNumberFormat="1" applyFont="1" applyFill="1" applyAlignment="1" applyProtection="1">
      <alignment horizontal="center"/>
      <protection locked="0"/>
    </xf>
    <xf numFmtId="164" fontId="20" fillId="2" borderId="8" xfId="0" applyNumberFormat="1" applyFont="1" applyFill="1" applyBorder="1" applyAlignment="1" applyProtection="1">
      <alignment horizontal="center"/>
      <protection locked="0"/>
    </xf>
    <xf numFmtId="1" fontId="21" fillId="2" borderId="0" xfId="0" applyNumberFormat="1" applyFont="1" applyFill="1" applyAlignment="1" applyProtection="1">
      <alignment horizontal="center"/>
    </xf>
    <xf numFmtId="0" fontId="0" fillId="4" borderId="3" xfId="0" applyFill="1" applyBorder="1"/>
    <xf numFmtId="0" fontId="0" fillId="4" borderId="6" xfId="0" applyFill="1" applyBorder="1"/>
    <xf numFmtId="0" fontId="0" fillId="4" borderId="7" xfId="0" applyFill="1" applyBorder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3B3B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D320"/>
      <rgbColor rgb="00FF9900"/>
      <rgbColor rgb="00FF420E"/>
      <rgbColor rgb="00666699"/>
      <rgbColor rgb="00969696"/>
      <rgbColor rgb="00004586"/>
      <rgbColor rgb="00579D1C"/>
      <rgbColor rgb="00003300"/>
      <rgbColor rgb="00333300"/>
      <rgbColor rgb="00993300"/>
      <rgbColor rgb="00993366"/>
      <rgbColor rgb="00333399"/>
      <rgbColor rgb="00333333"/>
    </indexed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</a:t>
            </a:r>
            <a:r>
              <a:rPr lang="en-US" baseline="0"/>
              <a:t>lue solid line = actual analytical curve</a:t>
            </a:r>
          </a:p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Green solid</a:t>
            </a:r>
            <a:r>
              <a:rPr lang="en-US" baseline="0"/>
              <a:t> </a:t>
            </a:r>
            <a:r>
              <a:rPr lang="en-US"/>
              <a:t>line = quadratic best fit</a:t>
            </a:r>
          </a:p>
        </c:rich>
      </c:tx>
      <c:layout>
        <c:manualLayout>
          <c:xMode val="edge"/>
          <c:yMode val="edge"/>
          <c:x val="0.18722395842426573"/>
          <c:y val="1.26298083707278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600505125538555"/>
          <c:y val="0.1313607089436401"/>
          <c:w val="0.82166914277224778"/>
          <c:h val="0.76655750289278368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Sheet1!$B$76</c:f>
              <c:strCache>
                <c:ptCount val="1"/>
                <c:pt idx="0">
                  <c:v>Analytical curve (Blue line on graph)</c:v>
                </c:pt>
              </c:strCache>
            </c:strRef>
          </c:tx>
          <c:spPr>
            <a:ln w="12700">
              <a:solidFill>
                <a:srgbClr val="004586"/>
              </a:solidFill>
              <a:prstDash val="solid"/>
            </a:ln>
          </c:spPr>
          <c:marker>
            <c:symbol val="none"/>
          </c:marker>
          <c:xVal>
            <c:numRef>
              <c:f>(Sheet1!$B$77:$B$87,Sheet1!$C$90:$C$91)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 formatCode="0.0000">
                  <c:v>0</c:v>
                </c:pt>
                <c:pt idx="12" formatCode="0.0000">
                  <c:v>1.1744682860231361</c:v>
                </c:pt>
              </c:numCache>
            </c:numRef>
          </c:xVal>
          <c:yVal>
            <c:numRef>
              <c:f>Sheet1!$C$77:$C$87</c:f>
              <c:numCache>
                <c:formatCode>0.0000</c:formatCode>
                <c:ptCount val="11"/>
                <c:pt idx="0">
                  <c:v>0</c:v>
                </c:pt>
                <c:pt idx="1">
                  <c:v>1.9985999999999999</c:v>
                </c:pt>
                <c:pt idx="2">
                  <c:v>3.9887999999999999</c:v>
                </c:pt>
                <c:pt idx="3">
                  <c:v>5.9622000000000002</c:v>
                </c:pt>
                <c:pt idx="4">
                  <c:v>7.9104000000000001</c:v>
                </c:pt>
                <c:pt idx="5">
                  <c:v>9.8249999999999993</c:v>
                </c:pt>
                <c:pt idx="6">
                  <c:v>11.6976</c:v>
                </c:pt>
                <c:pt idx="7">
                  <c:v>13.5198</c:v>
                </c:pt>
                <c:pt idx="8">
                  <c:v>15.283200000000001</c:v>
                </c:pt>
                <c:pt idx="9">
                  <c:v>16.979399999999998</c:v>
                </c:pt>
                <c:pt idx="10">
                  <c:v>18.600000000000001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Sheet1!$B$141</c:f>
              <c:strCache>
                <c:ptCount val="1"/>
                <c:pt idx="0">
                  <c:v>Regular Quadratic Fit (Green line on graph)</c:v>
                </c:pt>
              </c:strCache>
            </c:strRef>
          </c:tx>
          <c:spPr>
            <a:ln w="12700">
              <a:solidFill>
                <a:srgbClr val="579D1C"/>
              </a:solidFill>
              <a:prstDash val="solid"/>
            </a:ln>
          </c:spPr>
          <c:marker>
            <c:symbol val="none"/>
          </c:marker>
          <c:dPt>
            <c:idx val="14"/>
            <c:bubble3D val="0"/>
            <c:spPr>
              <a:ln w="19050">
                <a:solidFill>
                  <a:srgbClr val="579D1C"/>
                </a:solidFill>
                <a:prstDash val="solid"/>
              </a:ln>
            </c:spPr>
          </c:dPt>
          <c:xVal>
            <c:numRef>
              <c:f>Sheet1!$F$143:$F$160</c:f>
              <c:numCache>
                <c:formatCode>General</c:formatCode>
                <c:ptCount val="18"/>
                <c:pt idx="0">
                  <c:v>-0.25082757914375697</c:v>
                </c:pt>
                <c:pt idx="1">
                  <c:v>0.46985831249743382</c:v>
                </c:pt>
                <c:pt idx="2">
                  <c:v>1.1935214284314215</c:v>
                </c:pt>
                <c:pt idx="3">
                  <c:v>1.8433890789641991</c:v>
                </c:pt>
                <c:pt idx="4">
                  <c:v>2.6597724801954872</c:v>
                </c:pt>
                <c:pt idx="5">
                  <c:v>2.9665849719648612</c:v>
                </c:pt>
                <c:pt idx="6">
                  <c:v>3.6919370141731926</c:v>
                </c:pt>
                <c:pt idx="7">
                  <c:v>4.1254819383260743</c:v>
                </c:pt>
                <c:pt idx="8">
                  <c:v>4.7303397582441207</c:v>
                </c:pt>
                <c:pt idx="9">
                  <c:v>5.2399334881336852</c:v>
                </c:pt>
                <c:pt idx="10">
                  <c:v>6.4688711013808762</c:v>
                </c:pt>
                <c:pt idx="11">
                  <c:v>6.1021201363555413</c:v>
                </c:pt>
                <c:pt idx="12">
                  <c:v>6.4876159379110838</c:v>
                </c:pt>
                <c:pt idx="13">
                  <c:v>7.6690744795477421</c:v>
                </c:pt>
                <c:pt idx="14">
                  <c:v>7.819110640095265</c:v>
                </c:pt>
                <c:pt idx="15">
                  <c:v>8.9074466879768952</c:v>
                </c:pt>
                <c:pt idx="16">
                  <c:v>9.8721247471858842</c:v>
                </c:pt>
                <c:pt idx="17">
                  <c:v>9.9733341418496178</c:v>
                </c:pt>
              </c:numCache>
            </c:numRef>
          </c:xVal>
          <c:yVal>
            <c:numRef>
              <c:f>Sheet1!$D$143:$D$160</c:f>
              <c:numCache>
                <c:formatCode>General</c:formatCode>
                <c:ptCount val="18"/>
                <c:pt idx="0">
                  <c:v>0</c:v>
                </c:pt>
                <c:pt idx="1">
                  <c:v>1.1744682860231361</c:v>
                </c:pt>
                <c:pt idx="2">
                  <c:v>2.3962046506362769</c:v>
                </c:pt>
                <c:pt idx="3">
                  <c:v>3.5295777879860832</c:v>
                </c:pt>
                <c:pt idx="4">
                  <c:v>5.0019318866260978</c:v>
                </c:pt>
                <c:pt idx="5">
                  <c:v>5.5692553740541504</c:v>
                </c:pt>
                <c:pt idx="6">
                  <c:v>6.9408779272647276</c:v>
                </c:pt>
                <c:pt idx="7">
                  <c:v>7.7810898321159216</c:v>
                </c:pt>
                <c:pt idx="8">
                  <c:v>8.9787952614553657</c:v>
                </c:pt>
                <c:pt idx="9">
                  <c:v>10.010910801192457</c:v>
                </c:pt>
                <c:pt idx="10">
                  <c:v>12.58666677232463</c:v>
                </c:pt>
                <c:pt idx="11">
                  <c:v>11.805153725468999</c:v>
                </c:pt>
                <c:pt idx="12">
                  <c:v>12.626903560152115</c:v>
                </c:pt>
                <c:pt idx="13">
                  <c:v>15.220510687210057</c:v>
                </c:pt>
                <c:pt idx="14">
                  <c:v>15.55798584850176</c:v>
                </c:pt>
                <c:pt idx="15">
                  <c:v>18.06066535514061</c:v>
                </c:pt>
                <c:pt idx="16">
                  <c:v>20.359358269430118</c:v>
                </c:pt>
                <c:pt idx="17">
                  <c:v>20.604903901631381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Sheet1!$B$112</c:f>
              <c:strCache>
                <c:ptCount val="1"/>
                <c:pt idx="0">
                  <c:v>Measured Cx (result)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ash"/>
            </a:ln>
          </c:spPr>
          <c:marker>
            <c:symbol val="none"/>
          </c:marker>
          <c:xVal>
            <c:numRef>
              <c:f>Sheet1!$H$82:$H$83</c:f>
              <c:numCache>
                <c:formatCode>0.0000</c:formatCode>
                <c:ptCount val="2"/>
                <c:pt idx="0">
                  <c:v>4.7734316125840381</c:v>
                </c:pt>
                <c:pt idx="1">
                  <c:v>4.7734316125840381</c:v>
                </c:pt>
              </c:numCache>
            </c:numRef>
          </c:xVal>
          <c:yVal>
            <c:numRef>
              <c:f>Sheet1!$I$82:$I$83</c:f>
              <c:numCache>
                <c:formatCode>0.0000</c:formatCode>
                <c:ptCount val="2"/>
                <c:pt idx="0">
                  <c:v>0</c:v>
                </c:pt>
                <c:pt idx="1">
                  <c:v>9.0652564057977347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Sheet1!$B$89</c:f>
              <c:strCache>
                <c:ptCount val="1"/>
                <c:pt idx="0">
                  <c:v>Conc.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noFill/>
              </a:ln>
            </c:spPr>
          </c:marker>
          <c:xVal>
            <c:numRef>
              <c:f>Sheet1!$D$90:$D$107</c:f>
              <c:numCache>
                <c:formatCode>0.0000</c:formatCode>
                <c:ptCount val="18"/>
                <c:pt idx="0">
                  <c:v>0</c:v>
                </c:pt>
                <c:pt idx="1">
                  <c:v>0.58823529411764708</c:v>
                </c:pt>
                <c:pt idx="2">
                  <c:v>1.1764705882352942</c:v>
                </c:pt>
                <c:pt idx="3">
                  <c:v>1.7647058823529411</c:v>
                </c:pt>
                <c:pt idx="4">
                  <c:v>2.3529411764705883</c:v>
                </c:pt>
                <c:pt idx="5">
                  <c:v>2.9411764705882355</c:v>
                </c:pt>
                <c:pt idx="6">
                  <c:v>3.5294117647058827</c:v>
                </c:pt>
                <c:pt idx="7">
                  <c:v>4.1176470588235299</c:v>
                </c:pt>
                <c:pt idx="8">
                  <c:v>4.7058823529411766</c:v>
                </c:pt>
                <c:pt idx="9">
                  <c:v>5.2941176470588234</c:v>
                </c:pt>
                <c:pt idx="10">
                  <c:v>5.8823529411764701</c:v>
                </c:pt>
                <c:pt idx="11">
                  <c:v>6.4705882352941169</c:v>
                </c:pt>
                <c:pt idx="12">
                  <c:v>7.0588235294117636</c:v>
                </c:pt>
                <c:pt idx="13">
                  <c:v>7.6470588235294104</c:v>
                </c:pt>
                <c:pt idx="14">
                  <c:v>8.235294117647058</c:v>
                </c:pt>
                <c:pt idx="15">
                  <c:v>8.8235294117647047</c:v>
                </c:pt>
                <c:pt idx="16">
                  <c:v>9.4117647058823515</c:v>
                </c:pt>
                <c:pt idx="17">
                  <c:v>9.9999999999999982</c:v>
                </c:pt>
              </c:numCache>
            </c:numRef>
          </c:xVal>
          <c:yVal>
            <c:numRef>
              <c:f>Sheet1!$C$90:$C$107</c:f>
              <c:numCache>
                <c:formatCode>0.0000</c:formatCode>
                <c:ptCount val="18"/>
                <c:pt idx="0">
                  <c:v>0</c:v>
                </c:pt>
                <c:pt idx="1">
                  <c:v>1.1744682860231361</c:v>
                </c:pt>
                <c:pt idx="2">
                  <c:v>2.3962046506362769</c:v>
                </c:pt>
                <c:pt idx="3">
                  <c:v>3.5295777879860832</c:v>
                </c:pt>
                <c:pt idx="4">
                  <c:v>5.0019318866260978</c:v>
                </c:pt>
                <c:pt idx="5">
                  <c:v>5.5692553740541504</c:v>
                </c:pt>
                <c:pt idx="6">
                  <c:v>6.9408779272647276</c:v>
                </c:pt>
                <c:pt idx="7">
                  <c:v>7.7810898321159216</c:v>
                </c:pt>
                <c:pt idx="8">
                  <c:v>8.9787952614553657</c:v>
                </c:pt>
                <c:pt idx="9">
                  <c:v>10.010910801192457</c:v>
                </c:pt>
                <c:pt idx="10">
                  <c:v>12.58666677232463</c:v>
                </c:pt>
                <c:pt idx="11">
                  <c:v>11.805153725468999</c:v>
                </c:pt>
                <c:pt idx="12">
                  <c:v>12.626903560152115</c:v>
                </c:pt>
                <c:pt idx="13">
                  <c:v>15.220510687210057</c:v>
                </c:pt>
                <c:pt idx="14">
                  <c:v>15.55798584850176</c:v>
                </c:pt>
                <c:pt idx="15">
                  <c:v>18.06066535514061</c:v>
                </c:pt>
                <c:pt idx="16">
                  <c:v>20.359358269430118</c:v>
                </c:pt>
                <c:pt idx="17">
                  <c:v>20.604903901631381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Sheet1!$B$109</c:f>
              <c:strCache>
                <c:ptCount val="1"/>
                <c:pt idx="0">
                  <c:v>Sample (Yellow triangle)</c:v>
                </c:pt>
              </c:strCache>
            </c:strRef>
          </c:tx>
          <c:spPr>
            <a:ln w="12700">
              <a:solidFill>
                <a:srgbClr val="00B050"/>
              </a:solidFill>
              <a:prstDash val="sysDash"/>
            </a:ln>
          </c:spPr>
          <c:marker>
            <c:symbol val="none"/>
          </c:marker>
          <c:xVal>
            <c:numRef>
              <c:f>Sheet1!$H$79:$H$80</c:f>
              <c:numCache>
                <c:formatCode>0.0000</c:formatCode>
                <c:ptCount val="2"/>
                <c:pt idx="0">
                  <c:v>0</c:v>
                </c:pt>
                <c:pt idx="1">
                  <c:v>5</c:v>
                </c:pt>
              </c:numCache>
            </c:numRef>
          </c:xVal>
          <c:yVal>
            <c:numRef>
              <c:f>Sheet1!$I$79:$I$80</c:f>
              <c:numCache>
                <c:formatCode>0.0000</c:formatCode>
                <c:ptCount val="2"/>
                <c:pt idx="0">
                  <c:v>9.0652564057977347</c:v>
                </c:pt>
                <c:pt idx="1">
                  <c:v>9.0652564057977347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59055600"/>
        <c:axId val="-259051248"/>
      </c:scatterChart>
      <c:valAx>
        <c:axId val="-259055600"/>
        <c:scaling>
          <c:orientation val="minMax"/>
        </c:scaling>
        <c:delete val="0"/>
        <c:axPos val="b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Concentration</a:t>
                </a:r>
              </a:p>
            </c:rich>
          </c:tx>
          <c:layout>
            <c:manualLayout>
              <c:xMode val="edge"/>
              <c:yMode val="edge"/>
              <c:x val="0.40955031397128577"/>
              <c:y val="0.9486858013716027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out"/>
        <c:tickLblPos val="low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59051248"/>
        <c:crossesAt val="0"/>
        <c:crossBetween val="midCat"/>
        <c:majorUnit val="1"/>
        <c:minorUnit val="1"/>
      </c:valAx>
      <c:valAx>
        <c:axId val="-259051248"/>
        <c:scaling>
          <c:orientation val="minMax"/>
        </c:scaling>
        <c:delete val="0"/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Signal</a:t>
                </a:r>
              </a:p>
            </c:rich>
          </c:tx>
          <c:layout>
            <c:manualLayout>
              <c:xMode val="edge"/>
              <c:yMode val="edge"/>
              <c:x val="2.0943782550741367E-2"/>
              <c:y val="0.4631634916603166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low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59055600"/>
        <c:crossesAt val="0"/>
        <c:crossBetween val="midCat"/>
      </c:valAx>
      <c:spPr>
        <a:noFill/>
        <a:ln w="3175">
          <a:solidFill>
            <a:srgbClr val="B3B3B3"/>
          </a:solidFill>
          <a:prstDash val="solid"/>
        </a:ln>
      </c:spPr>
    </c:plotArea>
    <c:plotVisOnly val="0"/>
    <c:dispBlanksAs val="span"/>
    <c:showDLblsOverMax val="0"/>
  </c:chart>
  <c:spPr>
    <a:solidFill>
      <a:srgbClr val="FFFFFF"/>
    </a:solidFill>
    <a:ln w="381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123824</xdr:colOff>
      <xdr:row>48</xdr:row>
      <xdr:rowOff>47626</xdr:rowOff>
    </xdr:from>
    <xdr:to>
      <xdr:col>12</xdr:col>
      <xdr:colOff>228599</xdr:colOff>
      <xdr:row>72</xdr:row>
      <xdr:rowOff>161926</xdr:rowOff>
    </xdr:to>
    <xdr:graphicFrame macro="">
      <xdr:nvGraphicFramePr>
        <xdr:cNvPr id="103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toh@umd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6"/>
  <sheetViews>
    <sheetView tabSelected="1" topLeftCell="A48" zoomScaleNormal="100" workbookViewId="0">
      <selection activeCell="M48" sqref="M48"/>
    </sheetView>
  </sheetViews>
  <sheetFormatPr defaultColWidth="9.5703125" defaultRowHeight="12.75"/>
  <cols>
    <col min="1" max="1" width="2.28515625" customWidth="1"/>
    <col min="3" max="3" width="9" customWidth="1"/>
    <col min="4" max="4" width="40.85546875" customWidth="1"/>
    <col min="5" max="5" width="2.7109375" customWidth="1"/>
    <col min="6" max="6" width="6.85546875" customWidth="1"/>
    <col min="7" max="7" width="1.42578125" customWidth="1"/>
    <col min="8" max="8" width="13.42578125" customWidth="1"/>
    <col min="9" max="9" width="8.7109375" customWidth="1"/>
    <col min="10" max="10" width="10.5703125" customWidth="1"/>
  </cols>
  <sheetData>
    <row r="1" ht="2.85" hidden="1" customHeight="1"/>
    <row r="2" ht="2.85" hidden="1" customHeight="1"/>
    <row r="3" ht="2.85" hidden="1" customHeight="1"/>
    <row r="4" ht="2.85" hidden="1" customHeight="1"/>
    <row r="5" ht="2.85" hidden="1" customHeight="1"/>
    <row r="6" ht="2.85" hidden="1" customHeight="1"/>
    <row r="7" ht="2.85" hidden="1" customHeight="1"/>
    <row r="8" ht="2.85" hidden="1" customHeight="1"/>
    <row r="9" ht="2.85" hidden="1" customHeight="1"/>
    <row r="10" ht="2.85" hidden="1" customHeight="1"/>
    <row r="11" ht="2.85" hidden="1" customHeight="1"/>
    <row r="12" ht="2.85" hidden="1" customHeight="1"/>
    <row r="13" ht="2.85" hidden="1" customHeight="1"/>
    <row r="14" ht="2.85" hidden="1" customHeight="1"/>
    <row r="15" ht="2.85" hidden="1" customHeight="1"/>
    <row r="16" ht="2.85" hidden="1" customHeight="1"/>
    <row r="17" ht="2.85" hidden="1" customHeight="1"/>
    <row r="18" ht="2.85" hidden="1" customHeight="1"/>
    <row r="19" ht="2.85" hidden="1" customHeight="1"/>
    <row r="20" ht="2.85" hidden="1" customHeight="1"/>
    <row r="21" ht="2.85" hidden="1" customHeight="1"/>
    <row r="22" ht="2.85" hidden="1" customHeight="1"/>
    <row r="23" ht="2.85" hidden="1" customHeight="1"/>
    <row r="24" ht="2.85" hidden="1" customHeight="1"/>
    <row r="25" ht="2.85" hidden="1" customHeight="1"/>
    <row r="26" ht="2.85" hidden="1" customHeight="1"/>
    <row r="27" ht="2.85" hidden="1" customHeight="1"/>
    <row r="28" ht="2.85" hidden="1" customHeight="1"/>
    <row r="29" ht="2.85" hidden="1" customHeight="1"/>
    <row r="30" ht="2.85" hidden="1" customHeight="1"/>
    <row r="31" ht="2.85" hidden="1" customHeight="1"/>
    <row r="32" ht="2.85" hidden="1" customHeight="1"/>
    <row r="33" spans="2:12" ht="2.85" hidden="1" customHeight="1"/>
    <row r="34" spans="2:12" ht="2.85" hidden="1" customHeight="1"/>
    <row r="35" spans="2:12" ht="2.85" hidden="1" customHeight="1"/>
    <row r="36" spans="2:12" ht="2.85" hidden="1" customHeight="1"/>
    <row r="37" spans="2:12" ht="2.85" hidden="1" customHeight="1"/>
    <row r="38" spans="2:12" ht="2.85" hidden="1" customHeight="1"/>
    <row r="39" spans="2:12" ht="2.85" hidden="1" customHeight="1"/>
    <row r="40" spans="2:12" ht="2.85" hidden="1" customHeight="1"/>
    <row r="41" spans="2:12" ht="2.85" hidden="1" customHeight="1"/>
    <row r="42" spans="2:12" ht="2.85" hidden="1" customHeight="1"/>
    <row r="43" spans="2:12" ht="2.85" hidden="1" customHeight="1"/>
    <row r="44" spans="2:12" ht="2.85" hidden="1" customHeight="1"/>
    <row r="45" spans="2:12" ht="2.85" hidden="1" customHeight="1"/>
    <row r="46" spans="2:12" ht="2.85" hidden="1" customHeight="1"/>
    <row r="47" spans="2:12" ht="2.85" hidden="1" customHeight="1"/>
    <row r="48" spans="2:12" s="1" customFormat="1" ht="24.6" customHeight="1">
      <c r="B48" s="2" t="s">
        <v>0</v>
      </c>
      <c r="G48"/>
      <c r="H48"/>
      <c r="I48"/>
      <c r="J48"/>
      <c r="K48"/>
      <c r="L48"/>
    </row>
    <row r="49" spans="1:8">
      <c r="B49" s="3" t="s">
        <v>1</v>
      </c>
      <c r="C49" s="3" t="s">
        <v>2</v>
      </c>
      <c r="D49" s="3" t="s">
        <v>3</v>
      </c>
      <c r="H49" s="4"/>
    </row>
    <row r="50" spans="1:8" ht="15.6" customHeight="1">
      <c r="B50" s="5" t="s">
        <v>5</v>
      </c>
      <c r="C50" s="105">
        <v>2</v>
      </c>
      <c r="D50" s="6" t="s">
        <v>6</v>
      </c>
      <c r="F50" s="7"/>
    </row>
    <row r="51" spans="1:8" ht="15.6" customHeight="1">
      <c r="B51" s="8" t="s">
        <v>7</v>
      </c>
      <c r="C51" s="106">
        <f>H50/100</f>
        <v>0</v>
      </c>
      <c r="D51" s="9" t="s">
        <v>4</v>
      </c>
      <c r="F51" s="7"/>
      <c r="H51" s="10"/>
    </row>
    <row r="52" spans="1:8" ht="15.6" customHeight="1">
      <c r="B52" s="8" t="s">
        <v>9</v>
      </c>
      <c r="C52" s="106">
        <v>1.4E-2</v>
      </c>
      <c r="D52" s="9" t="s">
        <v>8</v>
      </c>
      <c r="F52" s="7"/>
      <c r="H52" s="11"/>
    </row>
    <row r="53" spans="1:8" ht="15.6" customHeight="1">
      <c r="B53" s="8" t="s">
        <v>10</v>
      </c>
      <c r="C53" s="107">
        <v>5</v>
      </c>
      <c r="D53" s="9" t="s">
        <v>11</v>
      </c>
      <c r="F53" s="7"/>
      <c r="H53" s="10"/>
    </row>
    <row r="54" spans="1:8" ht="15.6" customHeight="1">
      <c r="B54" s="8" t="s">
        <v>13</v>
      </c>
      <c r="C54" s="107">
        <v>5</v>
      </c>
      <c r="D54" s="9" t="s">
        <v>14</v>
      </c>
      <c r="F54" s="7"/>
    </row>
    <row r="55" spans="1:8" ht="15.6" customHeight="1">
      <c r="B55" s="8" t="s">
        <v>15</v>
      </c>
      <c r="C55" s="106">
        <f>A71/10</f>
        <v>5</v>
      </c>
      <c r="D55" s="9" t="s">
        <v>12</v>
      </c>
      <c r="F55" s="7"/>
      <c r="H55" s="10"/>
    </row>
    <row r="56" spans="1:8" ht="15" customHeight="1">
      <c r="B56" s="8" t="s">
        <v>16</v>
      </c>
      <c r="C56" s="106">
        <f>A73/10</f>
        <v>10</v>
      </c>
      <c r="D56" s="9" t="s">
        <v>17</v>
      </c>
      <c r="F56" s="7"/>
    </row>
    <row r="57" spans="1:8" ht="0.75" customHeight="1">
      <c r="B57" s="12" t="s">
        <v>18</v>
      </c>
      <c r="C57" s="109">
        <v>18</v>
      </c>
      <c r="D57" s="13" t="s">
        <v>19</v>
      </c>
    </row>
    <row r="58" spans="1:8" ht="15.6" customHeight="1">
      <c r="B58" s="14" t="s">
        <v>20</v>
      </c>
      <c r="C58" s="108">
        <v>0</v>
      </c>
      <c r="D58" s="15" t="s">
        <v>21</v>
      </c>
    </row>
    <row r="59" spans="1:8" ht="15.6" customHeight="1">
      <c r="C59" s="16"/>
    </row>
    <row r="60" spans="1:8" ht="15.6" customHeight="1">
      <c r="B60" s="17" t="s">
        <v>22</v>
      </c>
      <c r="C60" s="18"/>
      <c r="D60" s="19"/>
      <c r="E60" s="20"/>
      <c r="F60" s="21"/>
    </row>
    <row r="61" spans="1:8" ht="15.6" customHeight="1">
      <c r="A61" t="s">
        <v>23</v>
      </c>
      <c r="B61" s="22" t="s">
        <v>24</v>
      </c>
      <c r="C61" s="23">
        <f ca="1">C162</f>
        <v>4.0581073118372349E-2</v>
      </c>
      <c r="D61" s="24" t="s">
        <v>25</v>
      </c>
      <c r="E61" s="20"/>
      <c r="F61" s="21"/>
    </row>
    <row r="62" spans="1:8" ht="15.6" customHeight="1">
      <c r="B62" s="25" t="s">
        <v>26</v>
      </c>
      <c r="C62" s="26">
        <f ca="1">B162</f>
        <v>1.620764998223984</v>
      </c>
      <c r="D62" s="27" t="s">
        <v>27</v>
      </c>
      <c r="E62" s="20"/>
      <c r="F62" s="21"/>
    </row>
    <row r="63" spans="1:8" ht="15.6" customHeight="1">
      <c r="B63" s="25" t="s">
        <v>28</v>
      </c>
      <c r="C63" s="26">
        <f ca="1">(blank+m*Cx-0.1*Cx^3*n)*(1+0.01*2.5*Ev*(RAND()-RAND()))*(1+0.01*2.5*Es*(RAND()-RAND()))</f>
        <v>9.0652564057977347</v>
      </c>
      <c r="D63" s="28" t="s">
        <v>29</v>
      </c>
      <c r="E63" s="20"/>
      <c r="F63" s="21"/>
    </row>
    <row r="64" spans="1:8" ht="15.6" customHeight="1">
      <c r="B64" s="25" t="s">
        <v>30</v>
      </c>
      <c r="C64" s="26">
        <f>mo+z</f>
        <v>2</v>
      </c>
      <c r="D64" s="28" t="s">
        <v>31</v>
      </c>
      <c r="E64" s="20"/>
      <c r="F64" s="21"/>
    </row>
    <row r="65" spans="1:11" ht="15.6" customHeight="1">
      <c r="B65" s="25" t="s">
        <v>32</v>
      </c>
      <c r="C65" s="29">
        <f ca="1">(-pa+SQRT(pa*pa-4*pb*(pc-Sx)))/(2*pb)</f>
        <v>4.7734316125840381</v>
      </c>
      <c r="D65" s="28" t="s">
        <v>33</v>
      </c>
      <c r="E65" s="20"/>
      <c r="F65" s="21"/>
    </row>
    <row r="66" spans="1:11" ht="15.6" customHeight="1">
      <c r="B66" s="25" t="s">
        <v>34</v>
      </c>
      <c r="C66" s="30">
        <f ca="1">(result-Cx)/Cx</f>
        <v>-4.5313677483192372E-2</v>
      </c>
      <c r="D66" s="31" t="s">
        <v>35</v>
      </c>
      <c r="E66" s="20"/>
      <c r="F66" s="21"/>
    </row>
    <row r="67" spans="1:11" ht="15.6" customHeight="1">
      <c r="B67" s="32" t="s">
        <v>36</v>
      </c>
      <c r="C67" s="33">
        <f ca="1">(Cx-(Sx-intercept)/slope)/Cx</f>
        <v>8.2408547607038335E-2</v>
      </c>
      <c r="D67" s="34" t="s">
        <v>37</v>
      </c>
      <c r="E67" s="20"/>
      <c r="F67" s="21"/>
    </row>
    <row r="69" spans="1:11" ht="15">
      <c r="B69" s="35" t="s">
        <v>135</v>
      </c>
      <c r="C69" s="36"/>
      <c r="D69" s="37"/>
    </row>
    <row r="70" spans="1:11" ht="15">
      <c r="B70" s="22" t="s">
        <v>38</v>
      </c>
      <c r="C70" s="38">
        <f ca="1">I119</f>
        <v>5.0760425291124793</v>
      </c>
      <c r="D70" s="31" t="s">
        <v>39</v>
      </c>
    </row>
    <row r="71" spans="1:11" ht="14.1" customHeight="1">
      <c r="A71" s="39">
        <v>50</v>
      </c>
      <c r="B71" s="40" t="s">
        <v>40</v>
      </c>
      <c r="C71" s="41">
        <f ca="1">I120</f>
        <v>0.38164393616020781</v>
      </c>
      <c r="D71" s="31" t="s">
        <v>41</v>
      </c>
    </row>
    <row r="72" spans="1:11" ht="15">
      <c r="A72" s="39"/>
      <c r="B72" s="25" t="s">
        <v>42</v>
      </c>
      <c r="C72" s="42">
        <f ca="1">I121</f>
        <v>7.5185330692439323E-2</v>
      </c>
      <c r="D72" s="31" t="s">
        <v>43</v>
      </c>
    </row>
    <row r="73" spans="1:11" ht="15">
      <c r="A73" s="39">
        <v>100</v>
      </c>
      <c r="B73" s="32" t="s">
        <v>44</v>
      </c>
      <c r="C73" s="43">
        <f ca="1">I122</f>
        <v>1.5208505822495865E-2</v>
      </c>
      <c r="D73" s="44" t="s">
        <v>45</v>
      </c>
    </row>
    <row r="74" spans="1:11" ht="22.35" customHeight="1">
      <c r="A74" s="39"/>
      <c r="B74" t="s">
        <v>136</v>
      </c>
      <c r="F74" s="45" t="s">
        <v>46</v>
      </c>
      <c r="G74" s="46"/>
      <c r="I74" s="11"/>
      <c r="K74" s="47">
        <f ca="1">ABS(-K161)</f>
        <v>1.9897312531948364E-2</v>
      </c>
    </row>
    <row r="75" spans="1:11" ht="14.1" customHeight="1">
      <c r="A75" s="39">
        <v>52</v>
      </c>
      <c r="B75" s="11" t="s">
        <v>23</v>
      </c>
      <c r="F75" s="45" t="s">
        <v>47</v>
      </c>
      <c r="K75" s="48">
        <f ca="1">B164</f>
        <v>0.99065292904271229</v>
      </c>
    </row>
    <row r="76" spans="1:11">
      <c r="A76" s="39"/>
      <c r="B76" s="11" t="s">
        <v>48</v>
      </c>
    </row>
    <row r="77" spans="1:11">
      <c r="A77" s="39">
        <v>11</v>
      </c>
      <c r="B77" s="110">
        <v>0</v>
      </c>
      <c r="C77" s="50">
        <f t="shared" ref="C77:C87" si="0">blank+m*B77-0.1*B77^3*n</f>
        <v>0</v>
      </c>
      <c r="D77" s="16"/>
      <c r="G77" t="s">
        <v>23</v>
      </c>
      <c r="H77" t="s">
        <v>49</v>
      </c>
    </row>
    <row r="78" spans="1:11">
      <c r="B78" s="111">
        <v>1</v>
      </c>
      <c r="C78" s="50">
        <f t="shared" si="0"/>
        <v>1.9985999999999999</v>
      </c>
      <c r="D78" s="16"/>
      <c r="G78" t="s">
        <v>23</v>
      </c>
      <c r="H78" s="11" t="s">
        <v>137</v>
      </c>
    </row>
    <row r="79" spans="1:11">
      <c r="B79" s="111">
        <v>2</v>
      </c>
      <c r="C79" s="50">
        <f t="shared" si="0"/>
        <v>3.9887999999999999</v>
      </c>
      <c r="D79" s="16"/>
      <c r="G79" t="s">
        <v>23</v>
      </c>
      <c r="H79" s="113">
        <v>0</v>
      </c>
      <c r="I79" s="113">
        <f ca="1">Sx</f>
        <v>9.0652564057977347</v>
      </c>
    </row>
    <row r="80" spans="1:11">
      <c r="B80" s="111">
        <v>3</v>
      </c>
      <c r="C80" s="50">
        <f t="shared" si="0"/>
        <v>5.9622000000000002</v>
      </c>
      <c r="D80" s="16"/>
      <c r="G80" t="s">
        <v>23</v>
      </c>
      <c r="H80" s="113">
        <f>Cx</f>
        <v>5</v>
      </c>
      <c r="I80" s="113">
        <f ca="1">Sx</f>
        <v>9.0652564057977347</v>
      </c>
    </row>
    <row r="81" spans="1:10">
      <c r="B81" s="111">
        <v>4</v>
      </c>
      <c r="C81" s="50">
        <f t="shared" si="0"/>
        <v>7.9104000000000001</v>
      </c>
      <c r="D81" s="16"/>
      <c r="G81" t="s">
        <v>23</v>
      </c>
      <c r="H81" s="11" t="s">
        <v>138</v>
      </c>
    </row>
    <row r="82" spans="1:10">
      <c r="B82" s="111">
        <v>5</v>
      </c>
      <c r="C82" s="50">
        <f t="shared" si="0"/>
        <v>9.8249999999999993</v>
      </c>
      <c r="D82" s="16"/>
      <c r="G82" t="s">
        <v>23</v>
      </c>
      <c r="H82" s="113">
        <f ca="1">result</f>
        <v>4.7734316125840381</v>
      </c>
      <c r="I82" s="113">
        <v>0</v>
      </c>
    </row>
    <row r="83" spans="1:10">
      <c r="B83" s="111">
        <v>6</v>
      </c>
      <c r="C83" s="50">
        <f t="shared" si="0"/>
        <v>11.6976</v>
      </c>
      <c r="D83" s="16"/>
      <c r="G83" t="s">
        <v>23</v>
      </c>
      <c r="H83" s="113">
        <f ca="1">result</f>
        <v>4.7734316125840381</v>
      </c>
      <c r="I83" s="113">
        <f ca="1">Sx</f>
        <v>9.0652564057977347</v>
      </c>
    </row>
    <row r="84" spans="1:10">
      <c r="B84" s="111">
        <v>7</v>
      </c>
      <c r="C84" s="50">
        <f t="shared" si="0"/>
        <v>13.5198</v>
      </c>
      <c r="D84" s="16"/>
      <c r="G84" t="s">
        <v>23</v>
      </c>
      <c r="H84" t="s">
        <v>23</v>
      </c>
    </row>
    <row r="85" spans="1:10">
      <c r="B85" s="111">
        <v>8</v>
      </c>
      <c r="C85" s="50">
        <f t="shared" si="0"/>
        <v>15.283200000000001</v>
      </c>
      <c r="D85" s="16"/>
      <c r="G85" t="s">
        <v>23</v>
      </c>
      <c r="H85" s="11" t="s">
        <v>139</v>
      </c>
    </row>
    <row r="86" spans="1:10">
      <c r="B86" s="111">
        <v>9</v>
      </c>
      <c r="C86" s="50">
        <f t="shared" si="0"/>
        <v>16.979399999999998</v>
      </c>
      <c r="D86" s="16"/>
      <c r="G86" t="s">
        <v>23</v>
      </c>
      <c r="H86" t="s">
        <v>140</v>
      </c>
    </row>
    <row r="87" spans="1:10">
      <c r="B87" s="112">
        <v>10</v>
      </c>
      <c r="C87" s="50">
        <f t="shared" si="0"/>
        <v>18.600000000000001</v>
      </c>
      <c r="G87" t="s">
        <v>23</v>
      </c>
      <c r="H87" t="s">
        <v>23</v>
      </c>
    </row>
    <row r="89" spans="1:10">
      <c r="A89" s="21"/>
      <c r="B89" s="52" t="s">
        <v>50</v>
      </c>
      <c r="C89" s="53" t="s">
        <v>51</v>
      </c>
      <c r="D89" s="54" t="s">
        <v>52</v>
      </c>
      <c r="E89" s="21"/>
      <c r="H89" s="52" t="s">
        <v>53</v>
      </c>
      <c r="I89" s="37"/>
    </row>
    <row r="90" spans="1:10" ht="14.25">
      <c r="A90" s="55">
        <v>1</v>
      </c>
      <c r="B90" s="56">
        <v>0</v>
      </c>
      <c r="C90" s="57">
        <f t="shared" ref="C90:C107" ca="1" si="1">(mo*B90-0.1*B90^3*n)*(1+0.01*2.5*Ev*(RAND()-RAND()))*(1+0.01*2.5*Es*(RAND()-RAND()))</f>
        <v>0</v>
      </c>
      <c r="D90" s="58">
        <f t="shared" ref="D90:D107" si="2">IF(A90&lt;ns+1,B90,"" )</f>
        <v>0</v>
      </c>
      <c r="E90" s="21"/>
      <c r="H90" s="49" t="s">
        <v>54</v>
      </c>
      <c r="I90" s="59">
        <f ca="1">SLOPE(C90:C107,D90:D107)</f>
        <v>2.0265757294077074</v>
      </c>
    </row>
    <row r="91" spans="1:10" ht="14.25">
      <c r="A91" s="60">
        <v>2</v>
      </c>
      <c r="B91" s="61">
        <f t="shared" ref="B91:B107" si="3">B90+Cs/(ns-1)</f>
        <v>0.58823529411764708</v>
      </c>
      <c r="C91" s="57">
        <f t="shared" ca="1" si="1"/>
        <v>1.1744682860231361</v>
      </c>
      <c r="D91" s="62">
        <f t="shared" si="2"/>
        <v>0.58823529411764708</v>
      </c>
      <c r="E91" s="21"/>
      <c r="H91" s="20" t="s">
        <v>55</v>
      </c>
      <c r="I91" s="63">
        <f ca="1">INTERCEPT(C90:C107,D90:D107)</f>
        <v>-0.23258642885998526</v>
      </c>
    </row>
    <row r="92" spans="1:10" ht="14.25">
      <c r="A92" s="60">
        <v>3</v>
      </c>
      <c r="B92" s="61">
        <f t="shared" si="3"/>
        <v>1.1764705882352942</v>
      </c>
      <c r="C92" s="57">
        <f t="shared" ca="1" si="1"/>
        <v>2.3962046506362769</v>
      </c>
      <c r="D92" s="62">
        <f t="shared" si="2"/>
        <v>1.1764705882352942</v>
      </c>
      <c r="E92" s="21"/>
      <c r="H92" s="51" t="s">
        <v>56</v>
      </c>
      <c r="I92" s="64">
        <f ca="1">RSQ(C90:C107,D90:D107)</f>
        <v>0.98772931391989272</v>
      </c>
    </row>
    <row r="93" spans="1:10" ht="14.25">
      <c r="A93" s="60">
        <v>4</v>
      </c>
      <c r="B93" s="61">
        <f t="shared" si="3"/>
        <v>1.7647058823529411</v>
      </c>
      <c r="C93" s="57">
        <f t="shared" ca="1" si="1"/>
        <v>3.5295777879860832</v>
      </c>
      <c r="D93" s="62">
        <f t="shared" si="2"/>
        <v>1.7647058823529411</v>
      </c>
      <c r="E93" s="21"/>
    </row>
    <row r="94" spans="1:10" ht="14.25">
      <c r="A94" s="60">
        <v>5</v>
      </c>
      <c r="B94" s="61">
        <f t="shared" si="3"/>
        <v>2.3529411764705883</v>
      </c>
      <c r="C94" s="57">
        <f t="shared" ca="1" si="1"/>
        <v>5.0019318866260978</v>
      </c>
      <c r="D94" s="62">
        <f t="shared" si="2"/>
        <v>2.3529411764705883</v>
      </c>
      <c r="E94" s="21"/>
      <c r="H94" t="s">
        <v>57</v>
      </c>
      <c r="I94" s="65">
        <f ca="1">(Sx-intercept)/slope</f>
        <v>4.5879572619648084</v>
      </c>
      <c r="J94" t="s">
        <v>57</v>
      </c>
    </row>
    <row r="95" spans="1:10" ht="14.25">
      <c r="A95" s="60">
        <v>6</v>
      </c>
      <c r="B95" s="61">
        <f t="shared" si="3"/>
        <v>2.9411764705882355</v>
      </c>
      <c r="C95" s="57">
        <f t="shared" ca="1" si="1"/>
        <v>5.5692553740541504</v>
      </c>
      <c r="D95" s="62">
        <f t="shared" si="2"/>
        <v>2.9411764705882355</v>
      </c>
      <c r="E95" s="21"/>
    </row>
    <row r="96" spans="1:10" ht="14.25">
      <c r="A96" s="60">
        <v>7</v>
      </c>
      <c r="B96" s="61">
        <f t="shared" si="3"/>
        <v>3.5294117647058827</v>
      </c>
      <c r="C96" s="57">
        <f t="shared" ca="1" si="1"/>
        <v>6.9408779272647276</v>
      </c>
      <c r="D96" s="62">
        <f t="shared" si="2"/>
        <v>3.5294117647058827</v>
      </c>
      <c r="E96" s="21"/>
    </row>
    <row r="97" spans="1:13" ht="14.25">
      <c r="A97" s="60">
        <v>8</v>
      </c>
      <c r="B97" s="61">
        <f t="shared" si="3"/>
        <v>4.1176470588235299</v>
      </c>
      <c r="C97" s="57">
        <f t="shared" ca="1" si="1"/>
        <v>7.7810898321159216</v>
      </c>
      <c r="D97" s="62">
        <f t="shared" si="2"/>
        <v>4.1176470588235299</v>
      </c>
      <c r="E97" s="21"/>
      <c r="H97" s="11" t="s">
        <v>58</v>
      </c>
    </row>
    <row r="98" spans="1:13" ht="18">
      <c r="A98" s="60">
        <v>9</v>
      </c>
      <c r="B98" s="61">
        <f t="shared" si="3"/>
        <v>4.7058823529411766</v>
      </c>
      <c r="C98" s="57">
        <f t="shared" ca="1" si="1"/>
        <v>8.9787952614553657</v>
      </c>
      <c r="D98" s="62">
        <f t="shared" si="2"/>
        <v>4.7058823529411766</v>
      </c>
      <c r="E98" s="21"/>
      <c r="H98" s="66" t="s">
        <v>59</v>
      </c>
      <c r="I98" s="67" t="s">
        <v>28</v>
      </c>
      <c r="J98" s="68" t="s">
        <v>60</v>
      </c>
      <c r="M98" s="69" t="s">
        <v>61</v>
      </c>
    </row>
    <row r="99" spans="1:13" ht="14.25">
      <c r="A99" s="60">
        <v>10</v>
      </c>
      <c r="B99" s="61">
        <f t="shared" si="3"/>
        <v>5.2941176470588234</v>
      </c>
      <c r="C99" s="57">
        <f t="shared" ca="1" si="1"/>
        <v>10.010910801192457</v>
      </c>
      <c r="D99" s="62">
        <f t="shared" si="2"/>
        <v>5.2941176470588234</v>
      </c>
      <c r="E99" s="21"/>
      <c r="H99" s="70">
        <v>1</v>
      </c>
      <c r="I99" s="71">
        <f t="shared" ref="I99:I118" ca="1" si="4">(blank+m*Cx-0.1*Cx^3*n)*(1+0.01*2.5*Ev*(RAND()-RAND()))*(1+0.01*2.5*Es*(RAND()-RAND()))</f>
        <v>10.323807541702971</v>
      </c>
      <c r="J99" s="72">
        <f t="shared" ref="J99:J118" ca="1" si="5">(-pa+SQRT(pa*pa-4*pb*(pc-I99)))/(2*pb)</f>
        <v>5.3923997083641124</v>
      </c>
      <c r="M99" s="73" t="s">
        <v>62</v>
      </c>
    </row>
    <row r="100" spans="1:13" ht="15.75">
      <c r="A100" s="60">
        <v>11</v>
      </c>
      <c r="B100" s="61">
        <f t="shared" si="3"/>
        <v>5.8823529411764701</v>
      </c>
      <c r="C100" s="57">
        <f t="shared" ca="1" si="1"/>
        <v>12.58666677232463</v>
      </c>
      <c r="D100" s="62">
        <f t="shared" si="2"/>
        <v>5.8823529411764701</v>
      </c>
      <c r="E100" s="21"/>
      <c r="H100" s="70">
        <v>2</v>
      </c>
      <c r="I100" s="71">
        <f t="shared" ca="1" si="4"/>
        <v>11.075142423156672</v>
      </c>
      <c r="J100" s="72">
        <f t="shared" ca="1" si="5"/>
        <v>5.7548152536771982</v>
      </c>
      <c r="M100" s="74" t="s">
        <v>63</v>
      </c>
    </row>
    <row r="101" spans="1:13" ht="14.25">
      <c r="A101" s="60">
        <v>12</v>
      </c>
      <c r="B101" s="61">
        <f t="shared" si="3"/>
        <v>6.4705882352941169</v>
      </c>
      <c r="C101" s="57">
        <f t="shared" ca="1" si="1"/>
        <v>11.805153725468999</v>
      </c>
      <c r="D101" s="62">
        <f t="shared" si="2"/>
        <v>6.4705882352941169</v>
      </c>
      <c r="E101" s="21"/>
      <c r="H101" s="70">
        <v>3</v>
      </c>
      <c r="I101" s="71">
        <f t="shared" ca="1" si="4"/>
        <v>9.8631851226463461</v>
      </c>
      <c r="J101" s="72">
        <f t="shared" ca="1" si="5"/>
        <v>5.1676293477760007</v>
      </c>
      <c r="M101" s="75" t="s">
        <v>64</v>
      </c>
    </row>
    <row r="102" spans="1:13" ht="14.25">
      <c r="A102" s="60">
        <v>13</v>
      </c>
      <c r="B102" s="61">
        <f t="shared" si="3"/>
        <v>7.0588235294117636</v>
      </c>
      <c r="C102" s="57">
        <f t="shared" ca="1" si="1"/>
        <v>12.626903560152115</v>
      </c>
      <c r="D102" s="62">
        <f t="shared" si="2"/>
        <v>7.0588235294117636</v>
      </c>
      <c r="E102" s="21"/>
      <c r="H102" s="70">
        <v>4</v>
      </c>
      <c r="I102" s="71">
        <f t="shared" ca="1" si="4"/>
        <v>9.1144005519887195</v>
      </c>
      <c r="J102" s="72">
        <f t="shared" ca="1" si="5"/>
        <v>4.797891420565632</v>
      </c>
      <c r="M102" s="76" t="s">
        <v>65</v>
      </c>
    </row>
    <row r="103" spans="1:13" ht="14.25">
      <c r="A103" s="60">
        <v>14</v>
      </c>
      <c r="B103" s="61">
        <f t="shared" si="3"/>
        <v>7.6470588235294104</v>
      </c>
      <c r="C103" s="57">
        <f t="shared" ca="1" si="1"/>
        <v>15.220510687210057</v>
      </c>
      <c r="D103" s="62">
        <f t="shared" si="2"/>
        <v>7.6470588235294104</v>
      </c>
      <c r="E103" s="21"/>
      <c r="H103" s="70">
        <v>5</v>
      </c>
      <c r="I103" s="71">
        <f t="shared" ca="1" si="4"/>
        <v>9.2016109802847943</v>
      </c>
      <c r="J103" s="72">
        <f t="shared" ca="1" si="5"/>
        <v>4.8412380457420507</v>
      </c>
      <c r="M103" s="76" t="s">
        <v>66</v>
      </c>
    </row>
    <row r="104" spans="1:13" ht="14.25">
      <c r="A104" s="60">
        <v>15</v>
      </c>
      <c r="B104" s="61">
        <f t="shared" si="3"/>
        <v>8.235294117647058</v>
      </c>
      <c r="C104" s="57">
        <f t="shared" ca="1" si="1"/>
        <v>15.55798584850176</v>
      </c>
      <c r="D104" s="62">
        <f t="shared" si="2"/>
        <v>8.235294117647058</v>
      </c>
      <c r="E104" s="21"/>
      <c r="H104" s="70">
        <v>6</v>
      </c>
      <c r="I104" s="71">
        <f t="shared" ca="1" si="4"/>
        <v>9.4179995199235229</v>
      </c>
      <c r="J104" s="72">
        <f t="shared" ca="1" si="5"/>
        <v>4.9484650393526008</v>
      </c>
      <c r="M104" s="77" t="s">
        <v>67</v>
      </c>
    </row>
    <row r="105" spans="1:13" ht="14.25">
      <c r="A105" s="60">
        <v>16</v>
      </c>
      <c r="B105" s="61">
        <f t="shared" si="3"/>
        <v>8.8235294117647047</v>
      </c>
      <c r="C105" s="57">
        <f t="shared" ca="1" si="1"/>
        <v>18.06066535514061</v>
      </c>
      <c r="D105" s="62">
        <f t="shared" si="2"/>
        <v>8.8235294117647047</v>
      </c>
      <c r="E105" s="21"/>
      <c r="H105" s="70">
        <v>7</v>
      </c>
      <c r="I105" s="71">
        <f t="shared" ca="1" si="4"/>
        <v>9.6585137342598077</v>
      </c>
      <c r="J105" s="72">
        <f t="shared" ca="1" si="5"/>
        <v>5.0671081431846474</v>
      </c>
      <c r="M105" s="77" t="s">
        <v>68</v>
      </c>
    </row>
    <row r="106" spans="1:13" ht="14.25">
      <c r="A106" s="60">
        <v>17</v>
      </c>
      <c r="B106" s="61">
        <f t="shared" si="3"/>
        <v>9.4117647058823515</v>
      </c>
      <c r="C106" s="57">
        <f t="shared" ca="1" si="1"/>
        <v>20.359358269430118</v>
      </c>
      <c r="D106" s="62">
        <f t="shared" si="2"/>
        <v>9.4117647058823515</v>
      </c>
      <c r="E106" s="21"/>
      <c r="H106" s="70">
        <v>8</v>
      </c>
      <c r="I106" s="71">
        <f t="shared" ca="1" si="4"/>
        <v>9.8440574819634925</v>
      </c>
      <c r="J106" s="72">
        <f t="shared" ca="1" si="5"/>
        <v>5.158252135596606</v>
      </c>
      <c r="M106" s="77" t="s">
        <v>69</v>
      </c>
    </row>
    <row r="107" spans="1:13" ht="14.25">
      <c r="A107" s="78">
        <v>18</v>
      </c>
      <c r="B107" s="79">
        <f t="shared" si="3"/>
        <v>9.9999999999999982</v>
      </c>
      <c r="C107" s="57">
        <f t="shared" ca="1" si="1"/>
        <v>20.604903901631381</v>
      </c>
      <c r="D107" s="80">
        <f t="shared" si="2"/>
        <v>9.9999999999999982</v>
      </c>
      <c r="E107" s="21"/>
      <c r="H107" s="70">
        <v>9</v>
      </c>
      <c r="I107" s="71">
        <f t="shared" ca="1" si="4"/>
        <v>8.9438546553189031</v>
      </c>
      <c r="J107" s="72">
        <f t="shared" ca="1" si="5"/>
        <v>4.7129041691766975</v>
      </c>
      <c r="M107" s="73" t="s">
        <v>70</v>
      </c>
    </row>
    <row r="108" spans="1:13" ht="14.25">
      <c r="H108" s="70">
        <v>10</v>
      </c>
      <c r="I108" s="71">
        <f t="shared" ca="1" si="4"/>
        <v>11.011819682470655</v>
      </c>
      <c r="J108" s="72">
        <f t="shared" ca="1" si="5"/>
        <v>5.7244680192187003</v>
      </c>
      <c r="M108" s="73" t="s">
        <v>71</v>
      </c>
    </row>
    <row r="109" spans="1:13" ht="14.25">
      <c r="B109" s="81" t="s">
        <v>72</v>
      </c>
      <c r="C109" s="82"/>
      <c r="H109" s="70">
        <v>11</v>
      </c>
      <c r="I109" s="71">
        <f t="shared" ca="1" si="4"/>
        <v>10.704287581778791</v>
      </c>
      <c r="J109" s="72">
        <f t="shared" ca="1" si="5"/>
        <v>5.5765714874142152</v>
      </c>
      <c r="M109" s="73" t="s">
        <v>73</v>
      </c>
    </row>
    <row r="110" spans="1:13" ht="15.75">
      <c r="B110" s="79">
        <f>C55</f>
        <v>5</v>
      </c>
      <c r="C110" s="80">
        <f ca="1">Sx</f>
        <v>9.0652564057977347</v>
      </c>
      <c r="H110" s="70">
        <v>12</v>
      </c>
      <c r="I110" s="71">
        <f t="shared" ca="1" si="4"/>
        <v>9.5138396779946941</v>
      </c>
      <c r="J110" s="72">
        <f t="shared" ca="1" si="5"/>
        <v>4.9958095433892762</v>
      </c>
      <c r="M110" s="74" t="s">
        <v>74</v>
      </c>
    </row>
    <row r="111" spans="1:13" ht="14.25">
      <c r="H111" s="70">
        <v>13</v>
      </c>
      <c r="I111" s="71">
        <f t="shared" ca="1" si="4"/>
        <v>9.0970107038227468</v>
      </c>
      <c r="J111" s="72">
        <f t="shared" ca="1" si="5"/>
        <v>4.789238984435463</v>
      </c>
      <c r="M111" s="77" t="s">
        <v>75</v>
      </c>
    </row>
    <row r="112" spans="1:13" ht="14.25">
      <c r="B112" s="81" t="s">
        <v>76</v>
      </c>
      <c r="C112" s="82"/>
      <c r="H112" s="70">
        <v>14</v>
      </c>
      <c r="I112" s="71">
        <f t="shared" ca="1" si="4"/>
        <v>9.730831303884047</v>
      </c>
      <c r="J112" s="72">
        <f t="shared" ca="1" si="5"/>
        <v>5.1026718479289128</v>
      </c>
      <c r="M112" s="77" t="s">
        <v>77</v>
      </c>
    </row>
    <row r="113" spans="2:20" ht="15.75">
      <c r="B113" s="51">
        <f ca="1">result</f>
        <v>4.7734316125840381</v>
      </c>
      <c r="C113" s="83">
        <f ca="1">Sx</f>
        <v>9.0652564057977347</v>
      </c>
      <c r="H113" s="70">
        <v>15</v>
      </c>
      <c r="I113" s="71">
        <f t="shared" ca="1" si="4"/>
        <v>8.7060583382387744</v>
      </c>
      <c r="J113" s="72">
        <f t="shared" ca="1" si="5"/>
        <v>4.5939135339668322</v>
      </c>
      <c r="M113" s="74" t="s">
        <v>78</v>
      </c>
    </row>
    <row r="114" spans="2:20" ht="14.25">
      <c r="H114" s="70">
        <v>16</v>
      </c>
      <c r="I114" s="71">
        <f t="shared" ca="1" si="4"/>
        <v>8.9982755652215829</v>
      </c>
      <c r="J114" s="72">
        <f t="shared" ca="1" si="5"/>
        <v>4.7400552144621519</v>
      </c>
      <c r="M114" s="73" t="s">
        <v>79</v>
      </c>
    </row>
    <row r="115" spans="2:20" ht="14.25">
      <c r="H115" s="70">
        <v>17</v>
      </c>
      <c r="I115" s="71">
        <f t="shared" ca="1" si="4"/>
        <v>8.4872364041969206</v>
      </c>
      <c r="J115" s="72">
        <f t="shared" ca="1" si="5"/>
        <v>4.4839059215906563</v>
      </c>
      <c r="M115" s="84"/>
      <c r="N115" s="85" t="s">
        <v>80</v>
      </c>
      <c r="O115" s="85" t="s">
        <v>81</v>
      </c>
      <c r="P115" s="85" t="s">
        <v>82</v>
      </c>
      <c r="Q115" s="85" t="s">
        <v>83</v>
      </c>
      <c r="R115" s="85" t="s">
        <v>84</v>
      </c>
      <c r="S115" s="85" t="s">
        <v>85</v>
      </c>
      <c r="T115" s="86" t="s">
        <v>86</v>
      </c>
    </row>
    <row r="116" spans="2:20" ht="14.25">
      <c r="H116" s="70">
        <v>18</v>
      </c>
      <c r="I116" s="71">
        <f t="shared" ca="1" si="4"/>
        <v>9.8418928969675523</v>
      </c>
      <c r="J116" s="72">
        <f t="shared" ca="1" si="5"/>
        <v>5.1571907402429753</v>
      </c>
      <c r="M116" s="87" t="s">
        <v>87</v>
      </c>
      <c r="N116" s="88" t="s">
        <v>88</v>
      </c>
      <c r="O116" s="88" t="s">
        <v>89</v>
      </c>
      <c r="P116" s="88" t="s">
        <v>90</v>
      </c>
      <c r="Q116" s="89"/>
      <c r="R116" s="88" t="s">
        <v>91</v>
      </c>
      <c r="S116" s="89"/>
      <c r="T116" s="90"/>
    </row>
    <row r="117" spans="2:20" ht="14.25">
      <c r="H117" s="70">
        <v>19</v>
      </c>
      <c r="I117" s="71">
        <f t="shared" ca="1" si="4"/>
        <v>10.950137593105838</v>
      </c>
      <c r="J117" s="72">
        <f t="shared" ca="1" si="5"/>
        <v>5.6948725600077417</v>
      </c>
      <c r="M117" s="87" t="s">
        <v>92</v>
      </c>
      <c r="N117" s="88">
        <v>4</v>
      </c>
      <c r="O117" s="88">
        <v>7</v>
      </c>
      <c r="P117" s="88">
        <v>100</v>
      </c>
      <c r="Q117" s="89"/>
      <c r="R117" s="88" t="s">
        <v>93</v>
      </c>
      <c r="S117" s="88" t="s">
        <v>94</v>
      </c>
      <c r="T117" s="91" t="s">
        <v>95</v>
      </c>
    </row>
    <row r="118" spans="2:20" ht="14.25">
      <c r="H118" s="92">
        <v>20</v>
      </c>
      <c r="I118" s="71">
        <f t="shared" ca="1" si="4"/>
        <v>9.1617788012044361</v>
      </c>
      <c r="J118" s="72">
        <f t="shared" ca="1" si="5"/>
        <v>4.8214494661571079</v>
      </c>
      <c r="M118" s="87" t="s">
        <v>96</v>
      </c>
      <c r="N118" s="88">
        <v>5</v>
      </c>
      <c r="O118" s="88">
        <v>9</v>
      </c>
      <c r="P118" s="88">
        <v>105</v>
      </c>
      <c r="Q118" s="89"/>
      <c r="R118" s="88" t="s">
        <v>97</v>
      </c>
      <c r="S118" s="88" t="s">
        <v>98</v>
      </c>
      <c r="T118" s="91" t="s">
        <v>99</v>
      </c>
    </row>
    <row r="119" spans="2:20">
      <c r="H119" s="93" t="s">
        <v>38</v>
      </c>
      <c r="I119" s="94">
        <f ca="1">AVERAGE(J99:J118)</f>
        <v>5.0760425291124793</v>
      </c>
      <c r="M119" s="87" t="s">
        <v>100</v>
      </c>
      <c r="N119" s="88">
        <v>6</v>
      </c>
      <c r="O119" s="88">
        <v>11</v>
      </c>
      <c r="P119" s="88">
        <v>104</v>
      </c>
      <c r="Q119" s="89"/>
      <c r="R119" s="88" t="s">
        <v>101</v>
      </c>
      <c r="S119" s="88" t="s">
        <v>102</v>
      </c>
      <c r="T119" s="91" t="s">
        <v>103</v>
      </c>
    </row>
    <row r="120" spans="2:20">
      <c r="H120" s="95" t="s">
        <v>40</v>
      </c>
      <c r="I120" s="96">
        <f ca="1">STDEV(J99:J118)</f>
        <v>0.38164393616020781</v>
      </c>
      <c r="M120" s="87" t="s">
        <v>104</v>
      </c>
      <c r="N120" s="88">
        <v>7</v>
      </c>
      <c r="O120" s="88">
        <v>12</v>
      </c>
      <c r="P120" s="88">
        <v>108</v>
      </c>
      <c r="Q120" s="89"/>
      <c r="R120" s="88" t="s">
        <v>105</v>
      </c>
      <c r="S120" s="88">
        <v>4</v>
      </c>
      <c r="T120" s="91" t="s">
        <v>103</v>
      </c>
    </row>
    <row r="121" spans="2:20">
      <c r="H121" s="95" t="s">
        <v>42</v>
      </c>
      <c r="I121" s="97">
        <f ca="1">STDEV(J99:J118)/AVERAGE(J99:J118)</f>
        <v>7.5185330692439323E-2</v>
      </c>
      <c r="M121" s="87" t="s">
        <v>106</v>
      </c>
      <c r="N121" s="88">
        <v>8</v>
      </c>
      <c r="O121" s="88">
        <v>15</v>
      </c>
      <c r="P121" s="88">
        <v>111</v>
      </c>
      <c r="Q121" s="89"/>
      <c r="R121" s="88" t="s">
        <v>107</v>
      </c>
      <c r="S121" s="88" t="s">
        <v>108</v>
      </c>
      <c r="T121" s="91" t="s">
        <v>103</v>
      </c>
    </row>
    <row r="122" spans="2:20">
      <c r="H122" s="98" t="s">
        <v>44</v>
      </c>
      <c r="I122" s="99">
        <f ca="1">(I119-Cx)/Cx</f>
        <v>1.5208505822495865E-2</v>
      </c>
      <c r="M122" s="87" t="s">
        <v>109</v>
      </c>
      <c r="N122" s="88">
        <v>9</v>
      </c>
      <c r="O122" s="88">
        <v>17</v>
      </c>
      <c r="P122" s="88">
        <v>120</v>
      </c>
      <c r="Q122" s="89"/>
      <c r="R122" s="89"/>
      <c r="S122" s="89"/>
      <c r="T122" s="90"/>
    </row>
    <row r="123" spans="2:20">
      <c r="M123" s="87" t="s">
        <v>110</v>
      </c>
      <c r="N123" s="88">
        <v>10</v>
      </c>
      <c r="O123" s="88">
        <v>19</v>
      </c>
      <c r="P123" s="88">
        <v>133</v>
      </c>
      <c r="Q123" s="89"/>
      <c r="R123" s="89"/>
      <c r="S123" s="89"/>
      <c r="T123" s="90"/>
    </row>
    <row r="124" spans="2:20">
      <c r="M124" s="73"/>
    </row>
    <row r="125" spans="2:20">
      <c r="M125" s="77" t="s">
        <v>111</v>
      </c>
    </row>
    <row r="126" spans="2:20">
      <c r="M126" s="76" t="s">
        <v>112</v>
      </c>
    </row>
    <row r="127" spans="2:20">
      <c r="M127" s="76" t="s">
        <v>113</v>
      </c>
    </row>
    <row r="128" spans="2:20">
      <c r="M128" s="76" t="s">
        <v>114</v>
      </c>
    </row>
    <row r="129" spans="2:13">
      <c r="M129" s="77" t="s">
        <v>115</v>
      </c>
    </row>
    <row r="130" spans="2:13">
      <c r="M130" s="77" t="s">
        <v>116</v>
      </c>
    </row>
    <row r="131" spans="2:13">
      <c r="M131" s="76" t="s">
        <v>117</v>
      </c>
    </row>
    <row r="132" spans="2:13">
      <c r="M132" s="73" t="s">
        <v>118</v>
      </c>
    </row>
    <row r="133" spans="2:13">
      <c r="M133" s="73" t="s">
        <v>119</v>
      </c>
    </row>
    <row r="134" spans="2:13">
      <c r="M134" s="73" t="s">
        <v>120</v>
      </c>
    </row>
    <row r="135" spans="2:13">
      <c r="J135" t="s">
        <v>23</v>
      </c>
      <c r="M135" s="73" t="s">
        <v>121</v>
      </c>
    </row>
    <row r="136" spans="2:13">
      <c r="H136" t="s">
        <v>23</v>
      </c>
      <c r="M136" s="73" t="s">
        <v>122</v>
      </c>
    </row>
    <row r="137" spans="2:13">
      <c r="M137" s="73" t="s">
        <v>123</v>
      </c>
    </row>
    <row r="138" spans="2:13">
      <c r="F138" t="s">
        <v>23</v>
      </c>
      <c r="M138" s="73" t="s">
        <v>124</v>
      </c>
    </row>
    <row r="139" spans="2:13">
      <c r="M139" s="73" t="s">
        <v>125</v>
      </c>
    </row>
    <row r="140" spans="2:13">
      <c r="M140" s="73" t="s">
        <v>126</v>
      </c>
    </row>
    <row r="141" spans="2:13">
      <c r="B141" s="81" t="s">
        <v>127</v>
      </c>
      <c r="C141" s="19"/>
      <c r="D141" s="19"/>
      <c r="E141" s="19"/>
      <c r="F141" s="82"/>
      <c r="M141" s="73" t="s">
        <v>128</v>
      </c>
    </row>
    <row r="142" spans="2:13">
      <c r="B142" s="20" t="s">
        <v>129</v>
      </c>
      <c r="C142" t="s">
        <v>82</v>
      </c>
      <c r="D142" t="s">
        <v>80</v>
      </c>
      <c r="F142" s="72" t="s">
        <v>130</v>
      </c>
      <c r="K142" s="16" t="s">
        <v>131</v>
      </c>
      <c r="M142" s="73" t="s">
        <v>23</v>
      </c>
    </row>
    <row r="143" spans="2:13">
      <c r="B143" s="20">
        <f t="shared" ref="B143:B160" si="6">C143^2</f>
        <v>0</v>
      </c>
      <c r="C143">
        <f t="shared" ref="C143:D160" si="7">B90</f>
        <v>0</v>
      </c>
      <c r="D143" s="100">
        <f t="shared" ca="1" si="7"/>
        <v>0</v>
      </c>
      <c r="F143" s="72">
        <f t="shared" ref="F143:F160" ca="1" si="8">(-pa+SQRT(pa*pa-4*pb*(pc-D143)))/(2*pb)</f>
        <v>-0.25082757914375697</v>
      </c>
      <c r="K143" s="101">
        <f t="shared" ref="K143:K160" ca="1" si="9">ABS((F143-C143)/Cs)</f>
        <v>2.5082757914375697E-2</v>
      </c>
    </row>
    <row r="144" spans="2:13">
      <c r="B144" s="20">
        <f t="shared" si="6"/>
        <v>0.34602076124567477</v>
      </c>
      <c r="C144">
        <f t="shared" si="7"/>
        <v>0.58823529411764708</v>
      </c>
      <c r="D144" s="100">
        <f t="shared" ca="1" si="7"/>
        <v>1.1744682860231361</v>
      </c>
      <c r="F144" s="72">
        <f t="shared" ca="1" si="8"/>
        <v>0.46985831249743382</v>
      </c>
      <c r="K144" s="101">
        <f t="shared" ca="1" si="9"/>
        <v>1.1837698162021326E-2</v>
      </c>
    </row>
    <row r="145" spans="2:11">
      <c r="B145" s="20">
        <f t="shared" si="6"/>
        <v>1.3840830449826991</v>
      </c>
      <c r="C145">
        <f t="shared" si="7"/>
        <v>1.1764705882352942</v>
      </c>
      <c r="D145" s="100">
        <f t="shared" ca="1" si="7"/>
        <v>2.3962046506362769</v>
      </c>
      <c r="F145" s="72">
        <f t="shared" ca="1" si="8"/>
        <v>1.1935214284314215</v>
      </c>
      <c r="K145" s="101">
        <f t="shared" ca="1" si="9"/>
        <v>1.7050840196127348E-3</v>
      </c>
    </row>
    <row r="146" spans="2:11">
      <c r="B146" s="20">
        <f t="shared" si="6"/>
        <v>3.1141868512110724</v>
      </c>
      <c r="C146">
        <f t="shared" si="7"/>
        <v>1.7647058823529411</v>
      </c>
      <c r="D146" s="100">
        <f t="shared" ca="1" si="7"/>
        <v>3.5295777879860832</v>
      </c>
      <c r="F146" s="72">
        <f t="shared" ca="1" si="8"/>
        <v>1.8433890789641991</v>
      </c>
      <c r="K146" s="101">
        <f t="shared" ca="1" si="9"/>
        <v>7.8683196611258003E-3</v>
      </c>
    </row>
    <row r="147" spans="2:11">
      <c r="B147" s="20">
        <f t="shared" si="6"/>
        <v>5.5363321799307963</v>
      </c>
      <c r="C147">
        <f t="shared" si="7"/>
        <v>2.3529411764705883</v>
      </c>
      <c r="D147" s="100">
        <f t="shared" ca="1" si="7"/>
        <v>5.0019318866260978</v>
      </c>
      <c r="F147" s="72">
        <f t="shared" ca="1" si="8"/>
        <v>2.6597724801954872</v>
      </c>
      <c r="K147" s="101">
        <f t="shared" ca="1" si="9"/>
        <v>3.0683130372489886E-2</v>
      </c>
    </row>
    <row r="148" spans="2:11">
      <c r="B148" s="20">
        <f t="shared" si="6"/>
        <v>8.6505190311418705</v>
      </c>
      <c r="C148">
        <f t="shared" si="7"/>
        <v>2.9411764705882355</v>
      </c>
      <c r="D148" s="100">
        <f t="shared" ca="1" si="7"/>
        <v>5.5692553740541504</v>
      </c>
      <c r="F148" s="72">
        <f t="shared" ca="1" si="8"/>
        <v>2.9665849719648612</v>
      </c>
      <c r="K148" s="101">
        <f t="shared" ca="1" si="9"/>
        <v>2.5408501376625648E-3</v>
      </c>
    </row>
    <row r="149" spans="2:11">
      <c r="B149" s="20">
        <f t="shared" si="6"/>
        <v>12.456747404844293</v>
      </c>
      <c r="C149">
        <f t="shared" si="7"/>
        <v>3.5294117647058827</v>
      </c>
      <c r="D149" s="100">
        <f t="shared" ca="1" si="7"/>
        <v>6.9408779272647276</v>
      </c>
      <c r="F149" s="72">
        <f t="shared" ca="1" si="8"/>
        <v>3.6919370141731926</v>
      </c>
      <c r="K149" s="101">
        <f t="shared" ca="1" si="9"/>
        <v>1.6252524946730997E-2</v>
      </c>
    </row>
    <row r="150" spans="2:11">
      <c r="B150" s="20">
        <f t="shared" si="6"/>
        <v>16.955017301038065</v>
      </c>
      <c r="C150">
        <f t="shared" si="7"/>
        <v>4.1176470588235299</v>
      </c>
      <c r="D150" s="100">
        <f t="shared" ca="1" si="7"/>
        <v>7.7810898321159216</v>
      </c>
      <c r="F150" s="72">
        <f t="shared" ca="1" si="8"/>
        <v>4.1254819383260743</v>
      </c>
      <c r="K150" s="101">
        <f t="shared" ca="1" si="9"/>
        <v>7.8348795025444677E-4</v>
      </c>
    </row>
    <row r="151" spans="2:11">
      <c r="B151" s="20">
        <f t="shared" si="6"/>
        <v>22.145328719723185</v>
      </c>
      <c r="C151">
        <f t="shared" si="7"/>
        <v>4.7058823529411766</v>
      </c>
      <c r="D151" s="100">
        <f t="shared" ca="1" si="7"/>
        <v>8.9787952614553657</v>
      </c>
      <c r="F151" s="72">
        <f t="shared" ca="1" si="8"/>
        <v>4.7303397582441207</v>
      </c>
      <c r="K151" s="101">
        <f t="shared" ca="1" si="9"/>
        <v>2.4457405302944048E-3</v>
      </c>
    </row>
    <row r="152" spans="2:11">
      <c r="B152" s="20">
        <f t="shared" si="6"/>
        <v>28.027681660899653</v>
      </c>
      <c r="C152">
        <f t="shared" si="7"/>
        <v>5.2941176470588234</v>
      </c>
      <c r="D152" s="100">
        <f t="shared" ca="1" si="7"/>
        <v>10.010910801192457</v>
      </c>
      <c r="F152" s="72">
        <f t="shared" ca="1" si="8"/>
        <v>5.2399334881336852</v>
      </c>
      <c r="K152" s="101">
        <f t="shared" ca="1" si="9"/>
        <v>5.4184158925138174E-3</v>
      </c>
    </row>
    <row r="153" spans="2:11">
      <c r="B153" s="20">
        <f t="shared" si="6"/>
        <v>34.602076124567468</v>
      </c>
      <c r="C153">
        <f t="shared" si="7"/>
        <v>5.8823529411764701</v>
      </c>
      <c r="D153" s="100">
        <f t="shared" ca="1" si="7"/>
        <v>12.58666677232463</v>
      </c>
      <c r="F153" s="72">
        <f t="shared" ca="1" si="8"/>
        <v>6.4688711013808762</v>
      </c>
      <c r="K153" s="101">
        <f t="shared" ca="1" si="9"/>
        <v>5.8651816020440603E-2</v>
      </c>
    </row>
    <row r="154" spans="2:11">
      <c r="B154" s="20">
        <f t="shared" si="6"/>
        <v>41.868512110726634</v>
      </c>
      <c r="C154">
        <f t="shared" si="7"/>
        <v>6.4705882352941169</v>
      </c>
      <c r="D154" s="100">
        <f t="shared" ca="1" si="7"/>
        <v>11.805153725468999</v>
      </c>
      <c r="F154" s="72">
        <f t="shared" ca="1" si="8"/>
        <v>6.1021201363555413</v>
      </c>
      <c r="K154" s="101">
        <f t="shared" ca="1" si="9"/>
        <v>3.6846809893857559E-2</v>
      </c>
    </row>
    <row r="155" spans="2:11">
      <c r="B155" s="20">
        <f t="shared" si="6"/>
        <v>49.826989619377144</v>
      </c>
      <c r="C155">
        <f t="shared" si="7"/>
        <v>7.0588235294117636</v>
      </c>
      <c r="D155" s="100">
        <f t="shared" ca="1" si="7"/>
        <v>12.626903560152115</v>
      </c>
      <c r="F155" s="72">
        <f t="shared" ca="1" si="8"/>
        <v>6.4876159379110838</v>
      </c>
      <c r="K155" s="101">
        <f t="shared" ca="1" si="9"/>
        <v>5.7120759150067979E-2</v>
      </c>
    </row>
    <row r="156" spans="2:11">
      <c r="B156" s="20">
        <f t="shared" si="6"/>
        <v>58.477508650519006</v>
      </c>
      <c r="C156">
        <f t="shared" si="7"/>
        <v>7.6470588235294104</v>
      </c>
      <c r="D156" s="100">
        <f t="shared" ca="1" si="7"/>
        <v>15.220510687210057</v>
      </c>
      <c r="F156" s="72">
        <f t="shared" ca="1" si="8"/>
        <v>7.6690744795477421</v>
      </c>
      <c r="K156" s="101">
        <f t="shared" ca="1" si="9"/>
        <v>2.2015656018331774E-3</v>
      </c>
    </row>
    <row r="157" spans="2:11">
      <c r="B157" s="20">
        <f t="shared" si="6"/>
        <v>67.820069204152233</v>
      </c>
      <c r="C157">
        <f t="shared" si="7"/>
        <v>8.235294117647058</v>
      </c>
      <c r="D157" s="100">
        <f t="shared" ca="1" si="7"/>
        <v>15.55798584850176</v>
      </c>
      <c r="F157" s="72">
        <f t="shared" ca="1" si="8"/>
        <v>7.819110640095265</v>
      </c>
      <c r="K157" s="101">
        <f t="shared" ca="1" si="9"/>
        <v>4.1618347755179294E-2</v>
      </c>
    </row>
    <row r="158" spans="2:11">
      <c r="B158" s="20">
        <f t="shared" si="6"/>
        <v>77.85467128027679</v>
      </c>
      <c r="C158">
        <f t="shared" si="7"/>
        <v>8.8235294117647047</v>
      </c>
      <c r="D158" s="100">
        <f t="shared" ca="1" si="7"/>
        <v>18.06066535514061</v>
      </c>
      <c r="F158" s="72">
        <f t="shared" ca="1" si="8"/>
        <v>8.9074466879768952</v>
      </c>
      <c r="K158" s="101">
        <f t="shared" ca="1" si="9"/>
        <v>8.3917276212190466E-3</v>
      </c>
    </row>
    <row r="159" spans="2:11">
      <c r="B159" s="20">
        <f t="shared" si="6"/>
        <v>88.581314878892712</v>
      </c>
      <c r="C159">
        <f t="shared" si="7"/>
        <v>9.4117647058823515</v>
      </c>
      <c r="D159" s="100">
        <f t="shared" ca="1" si="7"/>
        <v>20.359358269430118</v>
      </c>
      <c r="F159" s="72">
        <f t="shared" ca="1" si="8"/>
        <v>9.8721247471858842</v>
      </c>
      <c r="K159" s="101">
        <f t="shared" ca="1" si="9"/>
        <v>4.6036004130353268E-2</v>
      </c>
    </row>
    <row r="160" spans="2:11">
      <c r="B160" s="20">
        <f t="shared" si="6"/>
        <v>99.999999999999972</v>
      </c>
      <c r="C160">
        <f t="shared" si="7"/>
        <v>9.9999999999999982</v>
      </c>
      <c r="D160" s="100">
        <f t="shared" ca="1" si="7"/>
        <v>20.604903901631381</v>
      </c>
      <c r="F160" s="72">
        <f t="shared" ca="1" si="8"/>
        <v>9.9733341418496178</v>
      </c>
      <c r="K160" s="101">
        <f t="shared" ca="1" si="9"/>
        <v>2.6665858150380474E-3</v>
      </c>
    </row>
    <row r="161" spans="2:11">
      <c r="B161" s="102" t="s">
        <v>26</v>
      </c>
      <c r="C161" s="7" t="s">
        <v>24</v>
      </c>
      <c r="D161" s="11" t="s">
        <v>132</v>
      </c>
      <c r="F161" s="72"/>
      <c r="J161" t="s">
        <v>133</v>
      </c>
      <c r="K161" s="103">
        <f ca="1">AVERAGE(K143:K160)</f>
        <v>1.9897312531948364E-2</v>
      </c>
    </row>
    <row r="162" spans="2:11">
      <c r="B162" s="11">
        <f t="array" aca="1" ref="B162:D166" ca="1">LINEST(D143:D160,B143:C160,1,1)</f>
        <v>1.620764998223984</v>
      </c>
      <c r="C162" s="11">
        <f ca="1"/>
        <v>4.0581073118372349E-2</v>
      </c>
      <c r="D162" s="11">
        <f ca="1"/>
        <v>0.40397942397722808</v>
      </c>
      <c r="E162" s="104"/>
      <c r="F162" s="83"/>
      <c r="H162" t="s">
        <v>134</v>
      </c>
    </row>
    <row r="163" spans="2:11">
      <c r="B163">
        <f ca="1"/>
        <v>0.19414260802428601</v>
      </c>
      <c r="C163">
        <f ca="1"/>
        <v>1.8735080681244697E-2</v>
      </c>
      <c r="D163">
        <f ca="1"/>
        <v>0.41865903245651787</v>
      </c>
    </row>
    <row r="164" spans="2:11">
      <c r="B164">
        <f ca="1"/>
        <v>0.99065292904271229</v>
      </c>
      <c r="C164">
        <f ca="1"/>
        <v>0.65907369024799001</v>
      </c>
      <c r="D164" t="e">
        <f ca="1"/>
        <v>#N/A</v>
      </c>
    </row>
    <row r="165" spans="2:11">
      <c r="B165">
        <f ca="1"/>
        <v>794.89039954568591</v>
      </c>
      <c r="C165">
        <f ca="1"/>
        <v>15</v>
      </c>
      <c r="D165" t="e">
        <f ca="1"/>
        <v>#N/A</v>
      </c>
    </row>
    <row r="166" spans="2:11">
      <c r="B166">
        <f ca="1"/>
        <v>690.56600931099069</v>
      </c>
      <c r="C166">
        <f ca="1"/>
        <v>6.5156719376565526</v>
      </c>
      <c r="D166" t="e">
        <f ca="1"/>
        <v>#N/A</v>
      </c>
    </row>
  </sheetData>
  <sheetProtection selectLockedCells="1" selectUnlockedCells="1"/>
  <hyperlinks>
    <hyperlink ref="B74" r:id="rId1" display="toh@umd.edu"/>
  </hyperlinks>
  <pageMargins left="0.78749999999999998" right="0.78749999999999998" top="1.0249999999999999" bottom="1.0249999999999999" header="0.78749999999999998" footer="0.78749999999999998"/>
  <pageSetup paperSize="9" orientation="landscape" useFirstPageNumber="1" horizontalDpi="300" verticalDpi="300"/>
  <headerFooter alignWithMargins="0">
    <oddHeader>&amp;C&amp;A</oddHeader>
    <oddFooter>&amp;CPage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22</vt:i4>
      </vt:variant>
    </vt:vector>
  </HeadingPairs>
  <TitlesOfParts>
    <vt:vector size="23" baseType="lpstr">
      <vt:lpstr>Sheet1</vt:lpstr>
      <vt:lpstr>blank</vt:lpstr>
      <vt:lpstr>Cs</vt:lpstr>
      <vt:lpstr>Cx</vt:lpstr>
      <vt:lpstr>Es</vt:lpstr>
      <vt:lpstr>Ev</vt:lpstr>
      <vt:lpstr>intercept</vt:lpstr>
      <vt:lpstr>m</vt:lpstr>
      <vt:lpstr>mo</vt:lpstr>
      <vt:lpstr>n</vt:lpstr>
      <vt:lpstr>nomVs</vt:lpstr>
      <vt:lpstr>ns</vt:lpstr>
      <vt:lpstr>pa</vt:lpstr>
      <vt:lpstr>pb</vt:lpstr>
      <vt:lpstr>pc</vt:lpstr>
      <vt:lpstr>Sheet1!Print_Area</vt:lpstr>
      <vt:lpstr>qa</vt:lpstr>
      <vt:lpstr>qb</vt:lpstr>
      <vt:lpstr>qc</vt:lpstr>
      <vt:lpstr>result</vt:lpstr>
      <vt:lpstr>slope</vt:lpstr>
      <vt:lpstr>Sx</vt:lpstr>
      <vt:lpstr>z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O'Haver</dc:creator>
  <cp:lastModifiedBy>Tom O'Haver</cp:lastModifiedBy>
  <dcterms:created xsi:type="dcterms:W3CDTF">2014-08-31T12:35:30Z</dcterms:created>
  <dcterms:modified xsi:type="dcterms:W3CDTF">2014-08-31T18:04:26Z</dcterms:modified>
</cp:coreProperties>
</file>